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Maira Lara.EST9999AST010\Downloads\finanzas\"/>
    </mc:Choice>
  </mc:AlternateContent>
  <xr:revisionPtr revIDLastSave="0" documentId="13_ncr:1_{EC0BF661-AD96-4851-9A8F-5C89D4659009}" xr6:coauthVersionLast="47" xr6:coauthVersionMax="47" xr10:uidLastSave="{00000000-0000-0000-0000-000000000000}"/>
  <bookViews>
    <workbookView xWindow="-120" yWindow="-120" windowWidth="29040" windowHeight="15720" xr2:uid="{00000000-000D-0000-FFFF-FFFF00000000}"/>
  </bookViews>
  <sheets>
    <sheet name="Estado de Situación" sheetId="2" r:id="rId1"/>
    <sheet name="NOTAS 7 AL 23 " sheetId="8" state="hidden" r:id="rId2"/>
    <sheet name="Detalle Nota No.10" sheetId="11" state="hidden" r:id="rId3"/>
    <sheet name="Detalle Nota 11 Prop. Plan y Eq" sheetId="10" state="hidden" r:id="rId4"/>
    <sheet name="Est. de Rendimiento Fin" sheetId="3" state="hidden" r:id="rId5"/>
    <sheet name="Cambio del Patrimonio" sheetId="4" state="hidden" r:id="rId6"/>
    <sheet name="Flujo de Efectivo" sheetId="5" state="hidden" r:id="rId7"/>
    <sheet name="Estado Comparativo" sheetId="7" state="hidden" r:id="rId8"/>
  </sheets>
  <definedNames>
    <definedName name="_xlnm.Print_Area" localSheetId="0">'Estado de Situación'!$A$1:$E$54</definedName>
    <definedName name="OLE_LINK1" localSheetId="1">'NOTAS 7 AL 23 '!$A$51</definedName>
    <definedName name="OLE_LINK3" localSheetId="1">'NOTAS 7 AL 23 '!#REF!</definedName>
    <definedName name="OLE_LINK4" localSheetId="1">'NOTAS 7 AL 23 '!$A$65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4" l="1"/>
  <c r="B40" i="2" l="1"/>
  <c r="F27" i="4"/>
  <c r="E27" i="4"/>
  <c r="E26" i="4"/>
  <c r="F21" i="4"/>
  <c r="B21" i="4"/>
  <c r="E19" i="4"/>
  <c r="B20" i="4" l="1"/>
  <c r="B26" i="4"/>
  <c r="D19" i="4"/>
  <c r="C19" i="4"/>
  <c r="F15" i="4"/>
  <c r="B39" i="2" l="1"/>
  <c r="B26" i="2"/>
  <c r="D55" i="8"/>
  <c r="B23" i="5"/>
  <c r="D222" i="8"/>
  <c r="E118" i="8"/>
  <c r="D118" i="8"/>
  <c r="D63" i="8" l="1"/>
  <c r="I16" i="10"/>
  <c r="I19" i="10" s="1"/>
  <c r="G19" i="10"/>
  <c r="F19" i="10"/>
  <c r="E19" i="10"/>
  <c r="G15" i="10"/>
  <c r="F15" i="10"/>
  <c r="E15" i="10"/>
  <c r="I9" i="10"/>
  <c r="D103" i="8"/>
  <c r="E20" i="10" l="1"/>
  <c r="E212" i="8" l="1"/>
  <c r="E233" i="8"/>
  <c r="E222" i="8"/>
  <c r="E148" i="8"/>
  <c r="C42" i="2" l="1"/>
  <c r="C33" i="2"/>
  <c r="C29" i="2"/>
  <c r="C35" i="2" s="1"/>
  <c r="C22" i="2"/>
  <c r="C16" i="2"/>
  <c r="C22" i="3"/>
  <c r="C14" i="3"/>
  <c r="D23" i="5"/>
  <c r="D17" i="5"/>
  <c r="D25" i="5" s="1"/>
  <c r="D27" i="5" s="1"/>
  <c r="C43" i="2" l="1"/>
  <c r="C24" i="3"/>
  <c r="C23" i="2"/>
  <c r="D105" i="8" l="1"/>
  <c r="D126" i="8"/>
  <c r="D140" i="8"/>
  <c r="F16" i="7"/>
  <c r="F17" i="7"/>
  <c r="F18" i="7"/>
  <c r="F20" i="7"/>
  <c r="F21" i="7"/>
  <c r="E16" i="7"/>
  <c r="E17" i="7"/>
  <c r="E18" i="7"/>
  <c r="E20" i="7"/>
  <c r="E21" i="7"/>
  <c r="C19" i="7"/>
  <c r="C15" i="7" s="1"/>
  <c r="B15" i="5"/>
  <c r="I17" i="10"/>
  <c r="D212" i="8"/>
  <c r="D199" i="8"/>
  <c r="B18" i="3" s="1"/>
  <c r="E199" i="8"/>
  <c r="D182" i="8"/>
  <c r="B17" i="3" s="1"/>
  <c r="E172" i="8"/>
  <c r="E182" i="8" s="1"/>
  <c r="E28" i="11"/>
  <c r="L28" i="11" s="1"/>
  <c r="E27" i="11"/>
  <c r="K27" i="11" s="1"/>
  <c r="E29" i="11"/>
  <c r="K29" i="11" s="1"/>
  <c r="K26" i="11"/>
  <c r="E26" i="11"/>
  <c r="D25" i="11"/>
  <c r="K25" i="11" s="1"/>
  <c r="D24" i="11"/>
  <c r="K24" i="11" s="1"/>
  <c r="K22" i="11"/>
  <c r="K23" i="11"/>
  <c r="K21" i="11"/>
  <c r="K20" i="11"/>
  <c r="L20" i="11"/>
  <c r="L21" i="11"/>
  <c r="E23" i="11"/>
  <c r="L23" i="11" s="1"/>
  <c r="K13" i="11"/>
  <c r="K12" i="11"/>
  <c r="K11" i="11"/>
  <c r="K14" i="11"/>
  <c r="K15" i="11"/>
  <c r="B16" i="5" l="1"/>
  <c r="B20" i="3"/>
  <c r="I20" i="10"/>
  <c r="K28" i="11"/>
  <c r="K31" i="11"/>
  <c r="D89" i="8"/>
  <c r="D31" i="11"/>
  <c r="B14" i="5"/>
  <c r="C22" i="7"/>
  <c r="L29" i="11"/>
  <c r="L27" i="11"/>
  <c r="E24" i="11"/>
  <c r="L24" i="11" s="1"/>
  <c r="E25" i="11"/>
  <c r="L25" i="11" s="1"/>
  <c r="E22" i="11" l="1"/>
  <c r="E30" i="11"/>
  <c r="F30" i="11" s="1"/>
  <c r="D16" i="11"/>
  <c r="F13" i="11"/>
  <c r="E10" i="11"/>
  <c r="E31" i="11" l="1"/>
  <c r="D88" i="8" s="1"/>
  <c r="F22" i="11"/>
  <c r="L22" i="11"/>
  <c r="L31" i="11" s="1"/>
  <c r="E16" i="11"/>
  <c r="D90" i="8" s="1"/>
  <c r="K10" i="11"/>
  <c r="K16" i="11" s="1"/>
  <c r="D91" i="8" s="1"/>
  <c r="F10" i="11"/>
  <c r="F16" i="11" s="1"/>
  <c r="D92" i="8" l="1"/>
  <c r="B19" i="10"/>
  <c r="B20" i="10" s="1"/>
  <c r="I11" i="10"/>
  <c r="I12" i="10"/>
  <c r="I13" i="10"/>
  <c r="I14" i="10"/>
  <c r="D231" i="8"/>
  <c r="D233" i="8" s="1"/>
  <c r="D156" i="8"/>
  <c r="D158" i="8" s="1"/>
  <c r="D13" i="7" l="1"/>
  <c r="B13" i="3"/>
  <c r="B13" i="5"/>
  <c r="D14" i="7"/>
  <c r="B21" i="3"/>
  <c r="D74" i="8"/>
  <c r="D132" i="8"/>
  <c r="D133" i="8" s="1"/>
  <c r="B17" i="5" l="1"/>
  <c r="B25" i="5" s="1"/>
  <c r="B22" i="3"/>
  <c r="F14" i="7"/>
  <c r="E14" i="7"/>
  <c r="F13" i="7"/>
  <c r="E13" i="7"/>
  <c r="E63" i="8"/>
  <c r="E158" i="8" l="1"/>
  <c r="E140" i="8"/>
  <c r="E133" i="8"/>
  <c r="E126" i="8"/>
  <c r="E111" i="8"/>
  <c r="E105" i="8"/>
  <c r="E88" i="8"/>
  <c r="E92" i="8" s="1"/>
  <c r="E87" i="8"/>
  <c r="E80" i="8"/>
  <c r="E82" i="8" s="1"/>
  <c r="E70" i="8"/>
  <c r="E74" i="8" s="1"/>
  <c r="C27" i="5"/>
  <c r="I10" i="10"/>
  <c r="I15" i="10" s="1"/>
  <c r="B32" i="2"/>
  <c r="B33" i="2" s="1"/>
  <c r="D111" i="8"/>
  <c r="D15" i="7" l="1"/>
  <c r="B27" i="2"/>
  <c r="B21" i="2"/>
  <c r="B20" i="2"/>
  <c r="H15" i="10"/>
  <c r="D15" i="10"/>
  <c r="C15" i="10"/>
  <c r="B15" i="10"/>
  <c r="E15" i="7" l="1"/>
  <c r="F15" i="7"/>
  <c r="D22" i="7"/>
  <c r="I18" i="10"/>
  <c r="G20" i="10"/>
  <c r="C19" i="10"/>
  <c r="C20" i="10" s="1"/>
  <c r="D19" i="10"/>
  <c r="D20" i="10" s="1"/>
  <c r="F20" i="10"/>
  <c r="E22" i="7" l="1"/>
  <c r="F22" i="7"/>
  <c r="B15" i="2" l="1"/>
  <c r="B13" i="2" l="1"/>
  <c r="H19" i="10"/>
  <c r="H20" i="10" s="1"/>
  <c r="B14" i="3"/>
  <c r="B24" i="3" s="1"/>
  <c r="B28" i="2"/>
  <c r="B29" i="2" s="1"/>
  <c r="B35" i="2" l="1"/>
  <c r="E8" i="2" s="1"/>
  <c r="D147" i="8" l="1"/>
  <c r="D82" i="8"/>
  <c r="E10" i="2" l="1"/>
  <c r="B14" i="2"/>
  <c r="B12" i="2"/>
  <c r="D87" i="8"/>
  <c r="B16" i="2" l="1"/>
  <c r="B19" i="2" l="1"/>
  <c r="B22" i="2" s="1"/>
  <c r="B23" i="2" s="1"/>
  <c r="E7" i="2" l="1"/>
  <c r="E9" i="2" s="1"/>
  <c r="E11" i="2" l="1"/>
  <c r="D146" i="8" s="1"/>
  <c r="B38" i="2" s="1"/>
  <c r="D148" i="8" l="1"/>
  <c r="B42" i="2" l="1"/>
  <c r="B43" i="2" s="1"/>
  <c r="B27" i="5"/>
  <c r="C2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tc={140121EE-6B6D-4255-B33F-39DD66C7180C}</author>
  </authors>
  <commentList>
    <comment ref="F8" authorId="0" shapeId="0" xr:uid="{00000000-0006-0000-0400-000001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Adiciones de las compras en el periodo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tc={F402B184-4C07-4FFC-BF71-84935084D863}</author>
  </authors>
  <commentList>
    <comment ref="B27" authorId="0" shapeId="0" xr:uid="{F402B184-4C07-4FFC-BF71-84935084D863}">
      <text>
        <t>[Comentario encadenado]
Tu versión de Excel te permite leer este comentario encadenado; sin embargo, las ediciones que se apliquen se quitarán si el archivo se abre en una versión más reciente de Excel. Más información: https://go.microsoft.com/fwlink/?linkid=870924
Comentario:
    Igual a la nota 7</t>
      </text>
    </comment>
  </commentList>
</comments>
</file>

<file path=xl/sharedStrings.xml><?xml version="1.0" encoding="utf-8"?>
<sst xmlns="http://schemas.openxmlformats.org/spreadsheetml/2006/main" count="446" uniqueCount="390">
  <si>
    <t>Activos</t>
  </si>
  <si>
    <t>Activos corrientes</t>
  </si>
  <si>
    <t>Total activos corrientes</t>
  </si>
  <si>
    <t>Activos no corrientes</t>
  </si>
  <si>
    <t>Total activos no corrientes</t>
  </si>
  <si>
    <t>Total activos</t>
  </si>
  <si>
    <t>Total pasivos corrientes</t>
  </si>
  <si>
    <t>Total pasivos</t>
  </si>
  <si>
    <t>Capital</t>
  </si>
  <si>
    <t>Intereses minoritarios</t>
  </si>
  <si>
    <t>Estado de Situación Financiera</t>
  </si>
  <si>
    <t xml:space="preserve"> (Valores en RD$)</t>
  </si>
  <si>
    <t xml:space="preserve">Efectivo y equivalente de efectivo (Notas 7) </t>
  </si>
  <si>
    <t>Nombre de la Institución</t>
  </si>
  <si>
    <t>Estado de Rendimiento Financiero</t>
  </si>
  <si>
    <t>Transferencias y donaciones</t>
  </si>
  <si>
    <t>Total ingresos</t>
  </si>
  <si>
    <t>Sueldos, salarios y beneficios a empleados</t>
  </si>
  <si>
    <t>Suministros y material para consumo</t>
  </si>
  <si>
    <t>Gasto de depreciación y amortización</t>
  </si>
  <si>
    <t>Gastos financieros</t>
  </si>
  <si>
    <t>Total gastos</t>
  </si>
  <si>
    <t>Resultado del período (ahorro / desahorro)</t>
  </si>
  <si>
    <t>Estado de Cambio de Activo Neto / Patrimonio</t>
  </si>
  <si>
    <t>(Valores en RD$)</t>
  </si>
  <si>
    <t>Capital Aportado</t>
  </si>
  <si>
    <t>Cambios en Políticas Contables</t>
  </si>
  <si>
    <t>Revaluación</t>
  </si>
  <si>
    <t>Resultados Acumulados</t>
  </si>
  <si>
    <t>Resultado del período</t>
  </si>
  <si>
    <t>Total Activos Netos / Patrimonio</t>
  </si>
  <si>
    <t>Estado de Flujo de Efectivo</t>
  </si>
  <si>
    <t>Flujo de efectivo procedentes de actividades operativas</t>
  </si>
  <si>
    <t>Pagos a proveedores</t>
  </si>
  <si>
    <t>Flujos de efectivo netos de las actividades de operación</t>
  </si>
  <si>
    <t>Flujos de efectivo de las actividades de inversión</t>
  </si>
  <si>
    <t>Pagos por adquisición de propiedad, planta y equipo</t>
  </si>
  <si>
    <t>Flujos de efectivo netos por las actividades de inversión</t>
  </si>
  <si>
    <t>Efectivo y equivalentes al efectivo al final del periodo</t>
  </si>
  <si>
    <t>Presupuesto sobre la Base de Efectivo</t>
  </si>
  <si>
    <t>Pagos a los trabajadores o en beneficio de ellos</t>
  </si>
  <si>
    <t xml:space="preserve">Pagos por contribuciones a la seguridad social </t>
  </si>
  <si>
    <t xml:space="preserve">Incremento/(Disminución) neta en el efectivo y equivalentes al efectivo </t>
  </si>
  <si>
    <t>Efectivo y equivalentes al efectivo al principio del periodo</t>
  </si>
  <si>
    <t>Variación (D=A-B)</t>
  </si>
  <si>
    <t xml:space="preserve">Estado de Comparación de los Importes Presupuestados y Realizados </t>
  </si>
  <si>
    <t>% de Variac Ejecución (C=B/A)</t>
  </si>
  <si>
    <t>Resultado acumulado</t>
  </si>
  <si>
    <t xml:space="preserve">Resultados positivos (ahorro)/negativo (desahorro) </t>
  </si>
  <si>
    <t>Patrimonio Neto</t>
  </si>
  <si>
    <t>Pasivos corrientes</t>
  </si>
  <si>
    <t>_______________________________</t>
  </si>
  <si>
    <t>___________________________</t>
  </si>
  <si>
    <t>Total Activos Netos/Patrimonio mas Pasivos</t>
  </si>
  <si>
    <t>Concepto</t>
  </si>
  <si>
    <t>Presupuesto Reformado (A)</t>
  </si>
  <si>
    <t>Presupuesto Ejecutado (B)</t>
  </si>
  <si>
    <t>Ingresos totales</t>
  </si>
  <si>
    <t>Transferencias</t>
  </si>
  <si>
    <t>Gastos totales</t>
  </si>
  <si>
    <t>Remuneraciones y contribuciones</t>
  </si>
  <si>
    <t>Contratación de servicios</t>
  </si>
  <si>
    <t>Materiales y suministros</t>
  </si>
  <si>
    <t>Bienes muebles, inmuebles e intangibles</t>
  </si>
  <si>
    <t>Obras</t>
  </si>
  <si>
    <r>
      <rPr>
        <b/>
        <sz val="14"/>
        <color rgb="FF231F20"/>
        <rFont val="Times New Roman"/>
        <family val="1"/>
      </rPr>
      <t>Resultado financiero (1-2)</t>
    </r>
  </si>
  <si>
    <t xml:space="preserve">                                                                                                    </t>
  </si>
  <si>
    <t>Terreno</t>
  </si>
  <si>
    <t>Infraestructura</t>
  </si>
  <si>
    <t>Adiciones</t>
  </si>
  <si>
    <t>Retiros</t>
  </si>
  <si>
    <t>Saldo al final del periodo</t>
  </si>
  <si>
    <t>Cargo del periodo</t>
  </si>
  <si>
    <t>Nota #7 Efectivo y equivalentes de efectivo.</t>
  </si>
  <si>
    <t>Superávit revaluación</t>
  </si>
  <si>
    <t>Otros</t>
  </si>
  <si>
    <t xml:space="preserve">                                                                                                                 </t>
  </si>
  <si>
    <t xml:space="preserve">Total </t>
  </si>
  <si>
    <t>Instituto Nacional de Atencion Integral a la Primera Infancia, INAIPI</t>
  </si>
  <si>
    <t>Total+B84:I84</t>
  </si>
  <si>
    <t xml:space="preserve">Cuenta Fondo Reponible No. 9605588578 Banreservas                                             </t>
  </si>
  <si>
    <t xml:space="preserve">                               Descripción                                                                              </t>
  </si>
  <si>
    <t xml:space="preserve">                                  Descripción                                                                                   </t>
  </si>
  <si>
    <t>Cuenta por Cobrar 20% Proveedores</t>
  </si>
  <si>
    <r>
      <t xml:space="preserve">                                    </t>
    </r>
    <r>
      <rPr>
        <b/>
        <sz val="10"/>
        <color theme="1"/>
        <rFont val="Calibri"/>
        <family val="2"/>
        <scheme val="minor"/>
      </rPr>
      <t xml:space="preserve">Descripción    </t>
    </r>
    <r>
      <rPr>
        <sz val="10"/>
        <color theme="1"/>
        <rFont val="Calibri"/>
        <family val="2"/>
        <scheme val="minor"/>
      </rPr>
      <t xml:space="preserve">                                                                               </t>
    </r>
  </si>
  <si>
    <t xml:space="preserve">                                 Descripción                                                                                   </t>
  </si>
  <si>
    <t>Mobiliario y Equipo de Oficina</t>
  </si>
  <si>
    <t>Maquinarias y Equipos</t>
  </si>
  <si>
    <t>Equipos Transportes y Otros</t>
  </si>
  <si>
    <t>Construcciones en Proceso</t>
  </si>
  <si>
    <t>Clasificación de Ingresos y Gastos por Objeto</t>
  </si>
  <si>
    <t>Instituto Nacional de Atencion Integral de la Primera Infancia</t>
  </si>
  <si>
    <t>Instituto Nacional de Atencion Integral a la Primera Infancia</t>
  </si>
  <si>
    <t>Alimentos y Bebidas</t>
  </si>
  <si>
    <t>IR3 por pagar</t>
  </si>
  <si>
    <t>Cuenta por pagar proveedores</t>
  </si>
  <si>
    <t>Edificio</t>
  </si>
  <si>
    <t>Amortizacion Intangibles</t>
  </si>
  <si>
    <t>Nota #8  Cuentas por cobrar a corto plazo</t>
  </si>
  <si>
    <t>Nota #9 Inventarios</t>
  </si>
  <si>
    <t>Nota#10 Pagos anticipados</t>
  </si>
  <si>
    <t>Cuenta por Cobrar PNUD</t>
  </si>
  <si>
    <t>Cuenta por cobrar a corto plazo (Notas 8)</t>
  </si>
  <si>
    <t>Inventarios (Nota 9)</t>
  </si>
  <si>
    <t>Pagos anticipados (Nota 10)</t>
  </si>
  <si>
    <t>Cuenta por Cobrar PMA</t>
  </si>
  <si>
    <t>Licencias de Software</t>
  </si>
  <si>
    <t>Materiales y Suministros</t>
  </si>
  <si>
    <t>Proveedor de la Póliza</t>
  </si>
  <si>
    <t>Número de Póliza</t>
  </si>
  <si>
    <t>Descripción/tipo de Póliza</t>
  </si>
  <si>
    <t>Monto Póliza</t>
  </si>
  <si>
    <t>Monto pagado por adelantado</t>
  </si>
  <si>
    <t>Monto Pendiente de pago</t>
  </si>
  <si>
    <t>Seguros Reservas, SA</t>
  </si>
  <si>
    <t>2-2-502-0189966</t>
  </si>
  <si>
    <t>Seguro de Vehículos de motor Flotilla</t>
  </si>
  <si>
    <t>2-2-503-0190249</t>
  </si>
  <si>
    <t>Seguro de Resp. Civil de Exceso Vehículos de Motor</t>
  </si>
  <si>
    <t>2-2-201-0061077</t>
  </si>
  <si>
    <t>Seguro de incendio y líneas aliadas (Almacén de Herrera)</t>
  </si>
  <si>
    <t>a. Seguros Pagados por Anticipados</t>
  </si>
  <si>
    <t>Fecha Inicio/activación</t>
  </si>
  <si>
    <t>Fecha Final/ vencimiento</t>
  </si>
  <si>
    <t>Fecha de Corte</t>
  </si>
  <si>
    <t>Monto consumido periodos anteriores</t>
  </si>
  <si>
    <t>Monto consumo actual periodo</t>
  </si>
  <si>
    <t>Proveedor de la Licencia</t>
  </si>
  <si>
    <t>Número de Licencia</t>
  </si>
  <si>
    <t>Descripción/tipo de Licencia</t>
  </si>
  <si>
    <t>Monto total de la Licencia</t>
  </si>
  <si>
    <t>Unified Threat Protection (UTP)</t>
  </si>
  <si>
    <t>Intact, SRL</t>
  </si>
  <si>
    <t>JNN-P1-NEW-ARXZ-BE</t>
  </si>
  <si>
    <t>Vectorsworks Architect 2023</t>
  </si>
  <si>
    <t>Grey Matter Technologies, SRL</t>
  </si>
  <si>
    <t>72HH-W4N2-5J8G-Q5H2</t>
  </si>
  <si>
    <t>Nessus</t>
  </si>
  <si>
    <t>Número Devengado</t>
  </si>
  <si>
    <t>18931-1</t>
  </si>
  <si>
    <t>Fecha Inicio/ activación</t>
  </si>
  <si>
    <t>Perpetua</t>
  </si>
  <si>
    <t>Propiedad, planta y equipo neto (Nota 11)</t>
  </si>
  <si>
    <t>Activos intangibles (Nota 12)</t>
  </si>
  <si>
    <t>Nota#11 Propiedad planta y equipo</t>
  </si>
  <si>
    <t>Pasivos no corrientes</t>
  </si>
  <si>
    <t>Total pasivos no corrientes</t>
  </si>
  <si>
    <t xml:space="preserve">Nota#12 Activos intangibles </t>
  </si>
  <si>
    <t xml:space="preserve">                           Descripción                                                                                   </t>
  </si>
  <si>
    <t xml:space="preserve">                               Descripción                                                                                   </t>
  </si>
  <si>
    <t>Ingresos (Notas 18)</t>
  </si>
  <si>
    <t>Detalle Nota No. Pagos anticipados (Nota 10)</t>
  </si>
  <si>
    <t xml:space="preserve">Amortizacón poliza de vehículo </t>
  </si>
  <si>
    <t xml:space="preserve">Amortizacón Licencia </t>
  </si>
  <si>
    <t xml:space="preserve">Gastos Anticipados de Seguros Vehiculos ( polizas) </t>
  </si>
  <si>
    <t xml:space="preserve">Otros Activos (  Nota 13) </t>
  </si>
  <si>
    <t xml:space="preserve">                            Descripción                                                                                  </t>
  </si>
  <si>
    <t>Bienes Muebles</t>
  </si>
  <si>
    <t xml:space="preserve">                         Descripción                                                                            </t>
  </si>
  <si>
    <t xml:space="preserve">                              Descripción                                                                                   </t>
  </si>
  <si>
    <t>Gastos (Notas 19, 20, 21, 22 y 23)</t>
  </si>
  <si>
    <t>Directora Ejecutiva</t>
  </si>
  <si>
    <t>Encargada Financiera</t>
  </si>
  <si>
    <t>Contadora</t>
  </si>
  <si>
    <t>Activo</t>
  </si>
  <si>
    <t>Pasivo</t>
  </si>
  <si>
    <t>patrimonio</t>
  </si>
  <si>
    <t>resultado</t>
  </si>
  <si>
    <t xml:space="preserve">Cobros de subvenciones, transferencias, y otras asignaciones </t>
  </si>
  <si>
    <t>Director Administrativo y Financiero</t>
  </si>
  <si>
    <t>Fondos de Cajas Chicas</t>
  </si>
  <si>
    <t>Sede Central</t>
  </si>
  <si>
    <t>Regional Metropolitana</t>
  </si>
  <si>
    <t>Regional Sur</t>
  </si>
  <si>
    <t>Regional Norte</t>
  </si>
  <si>
    <t>Regional Norte Occidental</t>
  </si>
  <si>
    <t>Regional Norte Oriental</t>
  </si>
  <si>
    <t xml:space="preserve">Cuenta Banreservas Fondo Reponible No. 9605588578                                            </t>
  </si>
  <si>
    <t xml:space="preserve">El Inaipi en el marco de los Procesos de Compras y Contrataciones, dando cumplimiento a la ley 340-06 y sus modificaciones, que favorece a las pequeñas empresas y las lideradas por mujeres que se promueve el cumplimiento de entregarles un Adelanto del 20%, del valor del Proceso de Compras Adjudicado y de los cuales los beneficiarios firman un contrato, certificado por la Contraloría General de la República.
Asimismo tenemos balances a nuestro favor, en 2 organismos internacionales Programa Mundia de Alimentos (PMA) por RD$15,000,000.00 y un monto ascendente de de RD$35,177,902.48 en el Programa de las Naciones Unidad para el Desarrollo. Las transferencias iniciales transferidas a estos organimos se realizaron a traves de convenios de cooperación, con estos convenios el Inaipi, cubrió en tiempos de alzas y escaces en los alimentos, la variedad de alimentos para cubrir los menus establecidos en cada rango etario, disponibilidad y ágil distribución. 
La institución presenta credito a favor con la DGII, en el impuesto del IR3, originado por la no carga total de las nominas a la TSS, actualmente la institución realiza las rectificativas correspondientes en la TSS para poder concliaiar los balances generados con estas rectificativas con la DGII y se regularice el balance del IR3.
</t>
  </si>
  <si>
    <t>El Inaipi, realiza licitaciones mayúsculas para cubrir la alimentación y necesidades basicas de los centros de de atencion integral que albergan a los niños y niñas inscritos en el programa, las licitaciones incluyen el despacho directamente en los centros de servicios, desde donde se actualizan las disponibilidades de los insumos de alimentos en el Sistema de Información y  Gestión para la Primera Infancia, SIGEPI.
Los demas bienes de consumos se recepcionan en el almacen principal, actualizando estas recepciones en el  SIGEPI, generando el balance consolidado de inventario.</t>
  </si>
  <si>
    <t>Nota#11 Propiedad Planta y Equipo</t>
  </si>
  <si>
    <t xml:space="preserve">                         Descripción                                                                                  </t>
  </si>
  <si>
    <r>
      <t xml:space="preserve"> La institucion realizó pagos por adelantado por seguros de vehiculos y licencias de software según se listan en el </t>
    </r>
    <r>
      <rPr>
        <b/>
        <i/>
        <sz val="10"/>
        <color theme="1"/>
        <rFont val="Calibri"/>
        <family val="2"/>
        <scheme val="minor"/>
      </rPr>
      <t>detalle nota 10</t>
    </r>
    <r>
      <rPr>
        <i/>
        <sz val="10"/>
        <color theme="1"/>
        <rFont val="Calibri"/>
        <family val="2"/>
        <scheme val="minor"/>
      </rPr>
      <t>. con sus respectivas amortizaciones.</t>
    </r>
  </si>
  <si>
    <t xml:space="preserve">                      Descripción                                                                                  </t>
  </si>
  <si>
    <t>La institución mantiene activos intangibles en licencias de software, los cuales respaldan las herramientas tecnologicas y siberseguridad de la entidad</t>
  </si>
  <si>
    <t>b. Pago Licencias de Software</t>
  </si>
  <si>
    <t xml:space="preserve">                      Descripción</t>
  </si>
  <si>
    <t>Nota#13 Otros Activos</t>
  </si>
  <si>
    <t>Mantenemos una cuenta por pagar a corto plazo que corresponden con deudas contraídas en la adquisición de Bienes y Servicios, registradas en un 90% mediante contratos debidamente registrados y certificados por la Contraloría General de la República. Relación anexa.</t>
  </si>
  <si>
    <t>Deuda Administrativa por pagar a proveedores sector privado</t>
  </si>
  <si>
    <t xml:space="preserve">El comportamiento de los pagos en el INAIPI en cuanto a salarios y remuneraciones de carácter personal, acoge la política del estado dominicano, al inicio del año se generó la Proyección Indicativa y las metas institucionales de colocar en operación nuevos centros de diversas modalidades, nos obliga a mantener un seguimiento constante en los movimientos de nómina. </t>
  </si>
  <si>
    <t xml:space="preserve">                                           Descripción                                                                                       </t>
  </si>
  <si>
    <t>El Inaipi por su mision, realiza licitaciones de grandes volumenes para cubrir todas las necesidades de los centros de atención integral de servicios, los bienes de consumos dirigidos a centros son contratados con la distribucion incluida directamente a los centros. Lo demas se recepciona en el almacen principal.</t>
  </si>
  <si>
    <t xml:space="preserve">                                                                               Descripción                                                                                   </t>
  </si>
  <si>
    <t xml:space="preserve">Un detalle de  Propiedad plana y equipo al al 30 de junio de 2023 es: </t>
  </si>
  <si>
    <t>El Inaipi, realizo descargos con el acompañamiento de Bienes Nacionaes, de bienes que no figuraban en el Sistema de Bienes del Estado, SIAB,  por tanto no teniamos record de como llegaron los mismos a la institucion, asumimos que los datos de nuestros balances estan saneados al corte, por tanto estos descargos no fueron considerados en los datos presentados.</t>
  </si>
  <si>
    <t>Cuenta Cuota institucional Banreservas No. 010028001</t>
  </si>
  <si>
    <t>Cuenta de disponibilidad institucional Banreservas No. 010028000</t>
  </si>
  <si>
    <t>Notas los Estados Financieros</t>
  </si>
  <si>
    <t>Comparativos Corte Semestral al 30 de junio 2023 y 2024</t>
  </si>
  <si>
    <t>Ver detalle de las cuentas por cobrar al 30 de junio de 2024:</t>
  </si>
  <si>
    <t>Ver detalle de las cuentas por cobrar al 30 de junio de 2024 es como sigue:</t>
  </si>
  <si>
    <t>Ver detalle de propiedad planta y equipo al 30 de junio de 2024 en cuadro anexo:</t>
  </si>
  <si>
    <t xml:space="preserve">Los datos de nuestros activos muebles e inmuebles seran saneados al 31/12/2024, actualmente estos estan siendo verificados en relacion a los extraidos del SIAB versus a los activos fisicos. El INAIPI, ofrece sus servicios de atencion integral desde locales en alquileres, locales donados y locales propiedad del MINERD. Indicando esto un impacto positivo en el aumento de nuestro patrimonio luego de este saneamiento y conciliación.  </t>
  </si>
  <si>
    <t>Ver detalle de las partidas de activos intangibles al 30 de junio de 2024</t>
  </si>
  <si>
    <t>Ver detalle de las partidas de cuentas por pagar a corto plazo al 30 de junio de 2024:</t>
  </si>
  <si>
    <t>Ver detalle de las partidas de retenciones y acumulaciones por pagar al 30 de junio de 2024:</t>
  </si>
  <si>
    <t>Un detalle de las cuentas por pagar a corto plazo al 30 de junio de 2024:</t>
  </si>
  <si>
    <t xml:space="preserve">Al 30 de junio de 2024 la composición del capital de la Institución es como sigue:  </t>
  </si>
  <si>
    <t>Al 30 de junio de 2024 el total de transferencias de la Institución es:</t>
  </si>
  <si>
    <t>Un detalle de las cuentas sueldos, salarios, beneficios a empleados al al 30 de junio de 2024 es como sigue:</t>
  </si>
  <si>
    <t>Un detalle de los gastos de suministro y materiales para consumo al 30 de junio de 2024 es como sigue:</t>
  </si>
  <si>
    <t>Un detalle de los gastos de depreciación y amortización al 30 de junio de 2024 es como sigue:</t>
  </si>
  <si>
    <t>Un detalle de los gastos financieros  al 30 de junio de 2024 corresponden cargos bancarios y comisiones, ver detalle como sigue:</t>
  </si>
  <si>
    <t>Al corte del 31.12.2024, el patrimonio fue determinado por diferencia, por ser los primeros estados financieros a presentar y no tener datos historicos fiables.
Nuestros balances estan en proceso de saneamiento principalmente las partidas que impactan directamente el patrimonio de la institución, esto por ajustes y/o revaluaciones ya que los activos propiedad, planta y equipo estan sujetos a depuración.
Al cierre del año 2024, nuestro patrimonio presentará aumento producto del saneamiento e inclusión de inmuebles en donación y propiedad del MINERD en proceso del cambio de la titualidad a favor del INAIPI.</t>
  </si>
  <si>
    <t>Depreciacion Acumulada al 31/05/2024</t>
  </si>
  <si>
    <t>Carga del Periodo 30/6/2024</t>
  </si>
  <si>
    <t xml:space="preserve">Depósitos de Alquiler                                                               </t>
  </si>
  <si>
    <t xml:space="preserve">Un detalle de los activos intangibles al al 30 de junio de 2024 es como sigue: El Inaipi, tiene aproximadamente 700 centros de atencion integral, de los cuales un 60% corresponden a locales alquilados a los cuales se les realiza pago de depositos, asimismo realizamos  de los cuales se realizan pago de depósitos. </t>
  </si>
  <si>
    <r>
      <t>Cuenta Corriente Banreservas No. 300107331</t>
    </r>
    <r>
      <rPr>
        <b/>
        <sz val="10"/>
        <color theme="1"/>
        <rFont val="Calibri"/>
        <family val="2"/>
        <scheme val="minor"/>
      </rPr>
      <t xml:space="preserve"> (Cuenta cerrada al 01.01.2024)   </t>
    </r>
    <r>
      <rPr>
        <sz val="10"/>
        <color theme="1"/>
        <rFont val="Calibri"/>
        <family val="2"/>
        <scheme val="minor"/>
      </rPr>
      <t xml:space="preserve">          </t>
    </r>
  </si>
  <si>
    <t>Cuenta por cobrar DGII (IR3)</t>
  </si>
  <si>
    <t>Cuenta por cobrar DGII (ITBIS)</t>
  </si>
  <si>
    <t>La institución presenta los siguientes rubros de efectivo y equivalesntes de su efectivo
1. Cuenta Fondo Reponible No. 9605588578 Banreservas   
2. Cuenta Cuota institucional No. 010028001 
3. Cuenta de disponibilidad institucional No. 010028000  
4. Cuenta unica del tesoro Fondos de Cajas Chicas</t>
  </si>
  <si>
    <t xml:space="preserve">Cuenta Fondo Reponible No. 9605588578 Banreservas (Ver conciliacion)                                             </t>
  </si>
  <si>
    <r>
      <t xml:space="preserve">La institución de la mano del departamento de nomina realizoen el año 2023, actualizaciones en la TSS, cargando nominas que en su momento no fueron debidamente cargas, los años impactados con esta actualizacion son 2020, 2021 y 2022, generando un balance por pagar en el impuesto del IR3 ante la DGII, </t>
    </r>
    <r>
      <rPr>
        <sz val="10"/>
        <color theme="1"/>
        <rFont val="Calibri"/>
        <family val="2"/>
        <scheme val="minor"/>
      </rPr>
      <t>a traves de rectificativas realizadas ante la DGII, este balance fue compensado una parte y pagando otra, de ahi la disminucion del balance comparado a continuacion.
Asimismo, solo tenemos deudas delos balances generados en el año actual, el mismo fue solicitado para pago.</t>
    </r>
  </si>
  <si>
    <t>La institución presenta deuda administrativa:
Heredada de gestiones anteriores cubren desde el 2015 al 2020 por RD$ 4,126,407.67
La comparación de ambos cortes 2023 y 2024,pta disminucion, presenta una disminucion gracias al pago a un proveedor a travez de una adenda a contrato y certificacion de Contraloria General de la Republica</t>
  </si>
  <si>
    <t>Transferencias Capital</t>
  </si>
  <si>
    <t>Transferencias Corrientes</t>
  </si>
  <si>
    <t>Un detalle de los ingresos por transferencias al 30 de junio de 2024, refleja un balance transferido por el MINERD de RD$4,145,707,168.76</t>
  </si>
  <si>
    <t>Propiedad Planta y Equipos Neto 30 de junio 2024</t>
  </si>
  <si>
    <t>Saldo al final del periodo al 30/06/2024</t>
  </si>
  <si>
    <t>Un detalle de los activos intangibles al al 30 de junio de 2024 es:</t>
  </si>
  <si>
    <t>14006</t>
  </si>
  <si>
    <t>2-2-201-0061078</t>
  </si>
  <si>
    <t>19205</t>
  </si>
  <si>
    <t>2-2-812-0013304</t>
  </si>
  <si>
    <t>Averia Maquinarias</t>
  </si>
  <si>
    <t>4192</t>
  </si>
  <si>
    <t>Apple Developer Program</t>
  </si>
  <si>
    <t>K4C92QK6V7</t>
  </si>
  <si>
    <t>Acceso Herramientas y servicos</t>
  </si>
  <si>
    <t>19509</t>
  </si>
  <si>
    <t>WINDTELECOM S A</t>
  </si>
  <si>
    <t>FC-10F6HOE-950-02-12</t>
  </si>
  <si>
    <t>13908</t>
  </si>
  <si>
    <t>2103</t>
  </si>
  <si>
    <t>10624</t>
  </si>
  <si>
    <t>Remuneraciones</t>
  </si>
  <si>
    <t>Eventual</t>
  </si>
  <si>
    <t>Sueldos personal temporero</t>
  </si>
  <si>
    <t>Tramite de Pension</t>
  </si>
  <si>
    <t>Compensacion Servicio de Seguridad (Militares)</t>
  </si>
  <si>
    <t>Prestaciones y bonificaciones</t>
  </si>
  <si>
    <t>Compensacion extraordinaria anual</t>
  </si>
  <si>
    <t>Prestaciones economicas</t>
  </si>
  <si>
    <t>Pago horas extraordinarias</t>
  </si>
  <si>
    <t>Proporcion de vacaciones no disfrutadas</t>
  </si>
  <si>
    <t>Contribuciones a la seguridad social</t>
  </si>
  <si>
    <t xml:space="preserve">Contribuciones al seguro de salud                          </t>
  </si>
  <si>
    <t xml:space="preserve">Contribuciones al seguro de pensiones                       </t>
  </si>
  <si>
    <t>Contribuciones al seguro de salud y riesgo laboral</t>
  </si>
  <si>
    <t xml:space="preserve">                                             Sueldos para cargos fijos                                                                                   </t>
  </si>
  <si>
    <t>10699</t>
  </si>
  <si>
    <t>Cognito Forms</t>
  </si>
  <si>
    <t>in_1OZHpf4sjv0H4lqKG43gCqCB</t>
  </si>
  <si>
    <t>506</t>
  </si>
  <si>
    <t>Enterprise for 12 months and Additional Custom Templates 10 for 12 months</t>
  </si>
  <si>
    <t>REDGATE</t>
  </si>
  <si>
    <t>Suscripcion SKU-134, 1 usuario</t>
  </si>
  <si>
    <t>SQL Toolbelt Essentials</t>
  </si>
  <si>
    <t>DevExpress Universal</t>
  </si>
  <si>
    <t xml:space="preserve">Universal subscription </t>
  </si>
  <si>
    <t>All Developer express products</t>
  </si>
  <si>
    <t>Envato Credit to user disinaipi on Evato</t>
  </si>
  <si>
    <t xml:space="preserve"> Market credit code 0762d7c9362541b3b68446cd3be67856</t>
  </si>
  <si>
    <t>3951</t>
  </si>
  <si>
    <t>EvatoMarket</t>
  </si>
  <si>
    <t>Inversiones Express</t>
  </si>
  <si>
    <t>AutoCad-C1RK1-WWW1762-L158
Revit 2024-829P1-WWW3740-L562</t>
  </si>
  <si>
    <t>6093</t>
  </si>
  <si>
    <t>Adquisicion de aplicaciones y licencias contrato 020-2024</t>
  </si>
  <si>
    <t>Adquisicion de aplicaciones y licencias contrato 015-2024</t>
  </si>
  <si>
    <t>P-ADVVUL-01-SU2YP-00</t>
  </si>
  <si>
    <t>H&amp;H Solutions SRL</t>
  </si>
  <si>
    <t>4070 y 6637</t>
  </si>
  <si>
    <t>Metricool</t>
  </si>
  <si>
    <t>ADVANCE 70638</t>
  </si>
  <si>
    <t>15 Marcas</t>
  </si>
  <si>
    <t>9495</t>
  </si>
  <si>
    <t>Interinato</t>
  </si>
  <si>
    <t>Sueldo Anual no. 13</t>
  </si>
  <si>
    <t>Incentivo por rendimiento individual</t>
  </si>
  <si>
    <t>Alimentos y productos agroforestales</t>
  </si>
  <si>
    <t>Textiles y vestuario</t>
  </si>
  <si>
    <t>Productos papel, carton e impresos</t>
  </si>
  <si>
    <t>Productos de minerales, metalicos</t>
  </si>
  <si>
    <t xml:space="preserve">Combustible, lubricantes, productos quimicos </t>
  </si>
  <si>
    <t>Productos y utiles varios</t>
  </si>
  <si>
    <t>Productos farmaceuticos</t>
  </si>
  <si>
    <t>Productos de cuero, caucho</t>
  </si>
  <si>
    <t>Un detalle de los gastos operativos del 01 al 31 de mayo 2024, es como sigue</t>
  </si>
  <si>
    <t>Servicios basicos</t>
  </si>
  <si>
    <t>Publicidad, impresos y encuadernacion</t>
  </si>
  <si>
    <t>Viaticos</t>
  </si>
  <si>
    <t>Transporte y Almacenaje</t>
  </si>
  <si>
    <t>Alquileres y rentas</t>
  </si>
  <si>
    <t>Seguros</t>
  </si>
  <si>
    <t>Servicios de conservacion, reparacion</t>
  </si>
  <si>
    <t>Otros servicios no incluidos en conceptos (notarios, caterin)</t>
  </si>
  <si>
    <t>Otras contrataciones de servicios</t>
  </si>
  <si>
    <t>Otros pagos (aporte capital COOPINAIPI)</t>
  </si>
  <si>
    <t>Transferencias de capital</t>
  </si>
  <si>
    <t>Nota # 1. Entidad económica</t>
  </si>
  <si>
    <t>Desde 2013 profesionales del sector infancia, trabajaron en la construcción de este Modelo, en el marco del Plan Quisqueya Empieza Contigo (QEC).</t>
  </si>
  <si>
    <t>Producto de este Plan nace en enero de 2015 el Instituto Nacional de Atención Integral a la Primera Infancia (INAIPI) como la institución gubernamental responsable de la gestión de los servicios de Atención Integral para los niños y niñas de 0 a 5 años y sus familias y la implementación de este Modelo.</t>
  </si>
  <si>
    <t>El INAIPI fue creado mediante las disposiciones de los Decretos 102-13 art.7 y 461-14, complementados por el Decreto 498-14, que declara el año 2015 como “Año de la Atención Integral a la Primera Infancia”, quedando establecido como un órgano descentralizado funcional y territorialmente, adscrito al Ministerio de Educación de la República Dominicana.</t>
  </si>
  <si>
    <t xml:space="preserve">En el trayecto desde la creación del INAIPI se han incorporado al Sistema de Primera Infancia del cual es gestor responsable los antiguos CIANI del Consejo Nacional Para la Niñez (CONANIS) y las Estancias que operaban bajo la sombrilla del Instituto Dominicano de Seguros Sociales (IDSS). </t>
  </si>
  <si>
    <t>El 28 de Julio 2022 se emite la Ley que crea el Sistema Nacional de Protección y Atención Integral a la Primera Infancia y crea el Instituto Nacional de Atención Integral a la Primera Infancia, INAIPI, facultándonos como una institución descentralizada.</t>
  </si>
  <si>
    <t>Desde su creación el INAIPI, garantiza servicios de Atención Integral de Calidad a niños y niñas, desde la gestación hasta los 4 años y 11 meses y 29 días, con la participación de las familias y comunidades, articulando el funcionamiento de redes de servicios con entidades públicas y privadas. A la fecha INAIPI opera según lo siguiente: 638 Centros, con una cobertura de 197654 y apoyando 159094 familias.</t>
  </si>
  <si>
    <t>En octubre del 2020, mediante el Decreto 579-20, el Excelentísimo Presidente de la República, Luis Rodolfo Abinader Corona, designa como Directora Ejecutiva del Instituto Nacional de Atención Integral a la Primera Infancia (INAIPI), a Besaida Maria Santana Sierra.</t>
  </si>
  <si>
    <t>Asimismo, se designaron las subdirectoras de la institución:</t>
  </si>
  <si>
    <t>1.      Rosa Yanina Torres Tamares subdirectora de gestión operativa y territorial.</t>
  </si>
  <si>
    <t>2.      Harolin María Almonte Guzmán queda designada subdirectora de relacionamiento interinstitucional.</t>
  </si>
  <si>
    <t>La institución tiene su domicilio en la avenida Simón Bolívar No. 61, Sector La Esperilla, Santo Domingo.</t>
  </si>
  <si>
    <t>Nota # 2. Base de presentación</t>
  </si>
  <si>
    <t>Los Estados Financieros han sido preparados de conformidad con las Normas Internacionales de Contabilidad del Sector Público (NICSP), adoptadas por la Dirección General de Contabilidad Gubernamental de la República Dominicana (DIGECOG).</t>
  </si>
  <si>
    <t>El INAIPI presenta su presupuesto aprobado según la base contable de efectivo y los Estados Financieros sobre la base de acumulación (o devengado) conforme a las estipulaciones de las NICSP 24: “Presentación de Información del Presupuesto en los Estados Financieros”.</t>
  </si>
  <si>
    <t>Nota # 3. Moneda funcional y de presentación</t>
  </si>
  <si>
    <t>Los Estados Financieros están expresados en pesos dominicanos (RD$) moneda de curso legal en República Dominicana.</t>
  </si>
  <si>
    <t>Nota # 4. Uso de estimados y juicios</t>
  </si>
  <si>
    <t xml:space="preserve">Para la elaboración de los Estados Financieros de conformidad con las NICSP, el equipo administrativo y financiero realizo juicios, estimaciones y supuestos para la aplicación de las Políticas Contables y la determinación de los montos de activos, pasivos, ingresos y gastos reportados. </t>
  </si>
  <si>
    <t>Nota # 5. Base de medición</t>
  </si>
  <si>
    <t>Los Estados Financieros se elaboran sobre la base del costo histórico, a excepción de los terrenos y edificios, los cuales son valuados mediante tasaciones realizadas por un experto externo y del patrimonio expresado que fue determinado por diferencia, ya que no contábamos con valor histórico.</t>
  </si>
  <si>
    <t>Nota # 6. Resumen de políticas contables significativas</t>
  </si>
  <si>
    <t>Para la elaboración de los estados financieros la institución se adhirió a las políticas contables establecidas por la Dirección General de Contabilidad Gubernamental, DIGECOG. Para el tratamiento de las partidas:</t>
  </si>
  <si>
    <t>1.      Conciliaciones bancarias</t>
  </si>
  <si>
    <t xml:space="preserve">2.      Políticas de Depreciación </t>
  </si>
  <si>
    <t>3.      Amortizaciones</t>
  </si>
  <si>
    <t>4.      Tratamiento Propiedad, planta y equipo</t>
  </si>
  <si>
    <t>5.      Identificación de ingresos</t>
  </si>
  <si>
    <t>6.      Determinación cuenta por pagar (corto y largo plazo)</t>
  </si>
  <si>
    <t>7.      Determinación cuenta por cobrar (corto y largo plazo)</t>
  </si>
  <si>
    <t>8.      Manejo de inventario</t>
  </si>
  <si>
    <t xml:space="preserve">9.      Valoración de activos y pasivos </t>
  </si>
  <si>
    <t xml:space="preserve">10.    Devengado </t>
  </si>
  <si>
    <t>11.    Otros.</t>
  </si>
  <si>
    <t>3.      Yanette Yosellin Rodríguez Paulino subdirectora de gestión institucional.</t>
  </si>
  <si>
    <t>2024</t>
  </si>
  <si>
    <t>Ver detalle del inventario al 30 de junio de 2024:</t>
  </si>
  <si>
    <t>Costos de adquisición (31.12.2023)</t>
  </si>
  <si>
    <t xml:space="preserve"> Corte Semestral al 30 de junio  2024</t>
  </si>
  <si>
    <t>Cuenta Corriente Banreservas No.300107331 (cerrada al 01.01.2024)</t>
  </si>
  <si>
    <t>Ver detalle del efectivo y equivalente de efectivo al 30 de junio de 2024:</t>
  </si>
  <si>
    <t>Dep. Acum. al inicio del periodo   (31.12.2023)</t>
  </si>
  <si>
    <t>Depreciación Muebles y Equipos de Oficina</t>
  </si>
  <si>
    <t>El Inaipi pagó sueldos y compensaciones al personal directivo, los cuales se definen como aquellos que ocupan la posición de directora ejecutiva y subdirectoras, por aproximadamente RD$ 5,302,500.00 y RD$ 3,074,231,163.5 respectivamente. Al 30 de junio de 2024  el INAIPI mantenía 41,270 empleados.</t>
  </si>
  <si>
    <t>Ver detalle y actas de descargos en detalle nota 23.</t>
  </si>
  <si>
    <t>Actualemente la institución concluyó el inventario de bienes muebles, correspondiente al cierre 2023, e inmediatamente inicio una validacion de este para cumplir con el inventario del corte semestral y realizar el saneamiento del SIAB, con estos datos, ambos procesos se realizan con el acompañamiento de representantes de la Contraloria General de la Republica, CGR.</t>
  </si>
  <si>
    <t>Se ha realizado en conjunto a los inventarios jornadas de etiquetados con Bienes Nacionales, colocando a la fecha de termino del inventario al cierre 2023, aproximadamente 60,000 etiquetas.</t>
  </si>
  <si>
    <t>El saneamiento de los activos muebles e inmuebles del INAIPI, concluirá al 31.12.2024</t>
  </si>
  <si>
    <t>Asimismo, de cara al saneamiento de la parte de los inmuebles, se realizaron varias reuniones con el personal del MINERD, para fines de recibir</t>
  </si>
  <si>
    <t>Gastos operacionales</t>
  </si>
  <si>
    <t>Nota# 14 Sobregiros Bancario</t>
  </si>
  <si>
    <t>Capital Inicial</t>
  </si>
  <si>
    <t>Al concluir el mes de junio 2024, la cuenta no.9605588578, presento transacciones en transito, lo que genero un sobregiro según detalle aconticuacion, ver detalle en anexos nota 7.</t>
  </si>
  <si>
    <t>Nota# 15 Cuentas por pagar a corto plazo</t>
  </si>
  <si>
    <t>Nota# 16 Retenciones y acumulaciones por pagar</t>
  </si>
  <si>
    <t>Nota# 17 Cuentas por pagar a largo plazo</t>
  </si>
  <si>
    <t>Nota# 18  Activos Netos/Patrimonio</t>
  </si>
  <si>
    <t>Nota# 19 Transferencia recibidas</t>
  </si>
  <si>
    <t xml:space="preserve"> Nota # 20 Sueldos, Salarios y beneficios a empleados</t>
  </si>
  <si>
    <t>Nota# 21 Materiales y Suministros</t>
  </si>
  <si>
    <t>Nota # 22 Gastos Operacionales</t>
  </si>
  <si>
    <t xml:space="preserve">Nota# 23 Gastos de depreciación y amortización </t>
  </si>
  <si>
    <t xml:space="preserve">Nota# 24 Deterioro al valor de la propiedad, planta y equipo </t>
  </si>
  <si>
    <t xml:space="preserve">Nota# 25 Gastos Financieros </t>
  </si>
  <si>
    <t>Depreciación Maquinaria y equipos</t>
  </si>
  <si>
    <t>Depreciación Equipos de Transporte</t>
  </si>
  <si>
    <t>Cuentas por pagar a corto plazo (Nota 15)</t>
  </si>
  <si>
    <t>Retenciones y acumulaciones por pagar (Nota 16)</t>
  </si>
  <si>
    <t>Cuentas por pagar a largo plazo (Nota 17)</t>
  </si>
  <si>
    <t>Activos Netos/Patrimonio (Notas 18)</t>
  </si>
  <si>
    <t>Sobre giros bancarios</t>
  </si>
  <si>
    <t>Saldo al 30 junio 2023</t>
  </si>
  <si>
    <t>Ajuste años anteriores</t>
  </si>
  <si>
    <t>Saldo al 31 de diciembre 2023</t>
  </si>
  <si>
    <t>Saldo al 30 de junio 2024</t>
  </si>
  <si>
    <t>Cambio en politicas contables</t>
  </si>
  <si>
    <t>Revaluacion de PPE</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</si>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</sst>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4" formatCode="_(&quot;$&quot;* #,##0.00_);_(&quot;$&quot;* \(#,##0.00\);_(&quot;$&quot;* &quot;-&quot;??_);_(@_)"/>
    <numFmt numFmtId="43" formatCode="_(* #,##0.00_);_(* \(#,##0.00\);_(* &quot;-&quot;??_);_(@_)"/>
    <numFmt numFmtId="164" formatCode="_-* #,##0.00\ _€_-;\-* #,##0.00\ _€_-;_-* &quot;-&quot;??\ _€_-;_-@_-"/>
    <numFmt numFmtId="165" formatCode="###0.0;###0.0"/>
    <numFmt numFmtId="166" formatCode="###0;###0"/>
    <numFmt numFmtId="167" formatCode="&quot;$&quot;#,##0.00"/>
    <numFmt numFmtId="168" formatCode="_(* #.##0.00_);_(* \(#.##0.00\);_(* &quot;-&quot;??_);_(@_)"/>
    <numFmt numFmtId="169" formatCode="_-* #,##0.00_-;\-* #,##0.00_-;_-* &quot;-&quot;??_-;_-@_-"/>
    <numFmt numFmtId="170" formatCode="dd\/mm\/yyyy"/>
    <numFmt numFmtId="171" formatCode="_-* #,##0\ _€_-;\-* #,##0\ _€_-;_-* &quot;-&quot;??\ _€_-;_-@_-"/>
    <numFmt numFmtId="172" formatCode="_(* #,##0_);_(* \(#,##0\);_(* &quot;-&quot;??_);_(@_)"/>
    <numFmt numFmtId="173" formatCode="_(* #,##0.00_);_(* \(#,##0.00\);_(* &quot;-&quot;_);_(@_)"/>
  </numFmts>
  <fonts count="48" x14ac:knownFonts="1">
    <font>
      <sz val="11"/>
      <color theme="1"/>
      <name val="Calibri"/>
      <family val="2"/>
      <scheme val="minor"/>
    </font>
    <font>
      <sz val="14"/>
      <color theme="1"/>
      <name val="Calibri"/>
      <family val="2"/>
      <scheme val="minor"/>
    </font>
    <font>
      <sz val="12"/>
      <color theme="1"/>
      <name val="Calibri"/>
      <family val="2"/>
      <scheme val="minor"/>
    </font>
    <font>
      <sz val="12"/>
      <color rgb="FF231F20"/>
      <name val="Times New Roman"/>
      <family val="1"/>
    </font>
    <font>
      <b/>
      <sz val="12"/>
      <color rgb="FF231F20"/>
      <name val="Times New Roman"/>
      <family val="1"/>
    </font>
    <font>
      <sz val="11"/>
      <color theme="1"/>
      <name val="Calibri"/>
      <family val="2"/>
      <scheme val="minor"/>
    </font>
    <font>
      <b/>
      <sz val="14"/>
      <color rgb="FF231F20"/>
      <name val="Times New Roman"/>
      <family val="1"/>
    </font>
    <font>
      <b/>
      <sz val="12"/>
      <color theme="1"/>
      <name val="Calibri"/>
      <family val="2"/>
      <scheme val="minor"/>
    </font>
    <font>
      <b/>
      <sz val="16"/>
      <color rgb="FF231F20"/>
      <name val="Times New Roman"/>
      <family val="1"/>
    </font>
    <font>
      <b/>
      <sz val="14"/>
      <color rgb="FF000000"/>
      <name val="Times New Roman"/>
      <family val="1"/>
    </font>
    <font>
      <b/>
      <sz val="14"/>
      <name val="Times New Roman"/>
      <family val="1"/>
    </font>
    <font>
      <b/>
      <sz val="14"/>
      <color rgb="FF000000"/>
      <name val="Times New Roman"/>
      <family val="2"/>
    </font>
    <font>
      <sz val="14"/>
      <color rgb="FF000000"/>
      <name val="Times New Roman"/>
      <family val="2"/>
    </font>
    <font>
      <sz val="14"/>
      <name val="Times New Roman"/>
      <family val="1"/>
    </font>
    <font>
      <b/>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sz val="12"/>
      <name val="Times New Roman"/>
      <family val="1"/>
    </font>
    <font>
      <i/>
      <sz val="10"/>
      <color theme="1"/>
      <name val="Calibri"/>
      <family val="2"/>
      <scheme val="minor"/>
    </font>
    <font>
      <b/>
      <sz val="14"/>
      <color theme="1"/>
      <name val="Times New Roman"/>
      <family val="1"/>
    </font>
    <font>
      <b/>
      <sz val="9"/>
      <name val="Times New Roman"/>
      <family val="1"/>
    </font>
    <font>
      <sz val="9"/>
      <name val="Times New Roman"/>
      <family val="1"/>
    </font>
    <font>
      <sz val="9"/>
      <color indexed="8"/>
      <name val="Calibri"/>
      <family val="2"/>
    </font>
    <font>
      <sz val="9"/>
      <color rgb="FF000000"/>
      <name val="Calibri"/>
      <family val="2"/>
      <scheme val="minor"/>
    </font>
    <font>
      <b/>
      <sz val="10"/>
      <name val="Times New Roman"/>
      <family val="1"/>
    </font>
    <font>
      <b/>
      <sz val="16"/>
      <color theme="1"/>
      <name val="Calibri"/>
      <family val="2"/>
      <scheme val="minor"/>
    </font>
    <font>
      <b/>
      <sz val="16"/>
      <name val="Times New Roman"/>
      <family val="1"/>
    </font>
    <font>
      <i/>
      <sz val="9"/>
      <color theme="1"/>
      <name val="Calibri"/>
      <family val="2"/>
      <scheme val="minor"/>
    </font>
    <font>
      <b/>
      <i/>
      <sz val="10"/>
      <color theme="1"/>
      <name val="Calibri"/>
      <family val="2"/>
      <scheme val="minor"/>
    </font>
    <font>
      <sz val="8"/>
      <name val="Calibri"/>
      <family val="2"/>
      <scheme val="minor"/>
    </font>
    <font>
      <i/>
      <sz val="12"/>
      <color theme="1"/>
      <name val="Calibri"/>
      <family val="2"/>
      <scheme val="minor"/>
    </font>
    <font>
      <sz val="12"/>
      <color theme="1"/>
      <name val="Times New Roman"/>
      <family val="1"/>
    </font>
    <font>
      <b/>
      <sz val="12"/>
      <color theme="1"/>
      <name val="Times New Roman"/>
      <family val="1"/>
    </font>
    <font>
      <sz val="11"/>
      <color rgb="FF000000"/>
      <name val="Calibri"/>
      <family val="2"/>
      <charset val="204"/>
    </font>
    <font>
      <sz val="10"/>
      <color rgb="FF000000"/>
      <name val="Calibri"/>
      <family val="2"/>
      <scheme val="minor"/>
    </font>
    <font>
      <b/>
      <sz val="10"/>
      <color rgb="FF231F20"/>
      <name val="Calibri"/>
      <family val="2"/>
      <scheme val="minor"/>
    </font>
    <font>
      <b/>
      <sz val="13"/>
      <name val="Times New Roman"/>
      <family val="1"/>
    </font>
    <font>
      <sz val="13"/>
      <color theme="1"/>
      <name val="Calibri"/>
      <family val="2"/>
      <scheme val="minor"/>
    </font>
    <font>
      <b/>
      <sz val="13"/>
      <color rgb="FF231F20"/>
      <name val="Times New Roman"/>
      <family val="1"/>
    </font>
    <font>
      <b/>
      <sz val="13"/>
      <color theme="1"/>
      <name val="Times New Roman"/>
      <family val="1"/>
    </font>
    <font>
      <sz val="13"/>
      <color rgb="FF231F20"/>
      <name val="Times New Roman"/>
      <family val="1"/>
    </font>
    <font>
      <b/>
      <u/>
      <sz val="13"/>
      <color rgb="FF231F20"/>
      <name val="Times New Roman"/>
      <family val="1"/>
    </font>
    <font>
      <b/>
      <sz val="13"/>
      <color theme="1"/>
      <name val="Calibri"/>
      <family val="2"/>
      <scheme val="minor"/>
    </font>
    <font>
      <sz val="13"/>
      <color theme="1"/>
      <name val="Times New Roman"/>
      <family val="1"/>
    </font>
    <font>
      <b/>
      <sz val="11"/>
      <name val="Times New Roman"/>
      <family val="1"/>
    </font>
    <font>
      <b/>
      <sz val="11"/>
      <color rgb="FF231F20"/>
      <name val="Times New Roman"/>
      <family val="1"/>
    </font>
    <font>
      <i/>
      <sz val="14"/>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3" tint="0.59999389629810485"/>
        <bgColor rgb="FF000000"/>
      </patternFill>
    </fill>
    <fill>
      <patternFill patternType="solid">
        <fgColor theme="4" tint="0.79998168889431442"/>
        <bgColor indexed="64"/>
      </patternFill>
    </fill>
  </fills>
  <borders count="11">
    <border>
      <left/>
      <right/>
      <top/>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5" fillId="0" borderId="0" applyFont="0" applyFill="0" applyBorder="0" applyAlignment="0" applyProtection="0"/>
    <xf numFmtId="9" fontId="5" fillId="0" borderId="0" applyFont="0" applyFill="0" applyBorder="0" applyAlignment="0" applyProtection="0"/>
    <xf numFmtId="168" fontId="5" fillId="0" borderId="0" applyFont="0" applyFill="0" applyBorder="0" applyAlignment="0" applyProtection="0"/>
    <xf numFmtId="0" fontId="34" fillId="0" borderId="0"/>
  </cellStyleXfs>
  <cellXfs count="332">
    <xf numFmtId="0" fontId="0" fillId="0" borderId="0" xfId="0"/>
    <xf numFmtId="0" fontId="2" fillId="0" borderId="0" xfId="0" applyFont="1" applyAlignment="1">
      <alignment vertical="center" wrapText="1"/>
    </xf>
    <xf numFmtId="0" fontId="3" fillId="0" borderId="0" xfId="0" applyFont="1" applyAlignment="1">
      <alignment horizontal="left" vertical="center" wrapText="1" indent="2"/>
    </xf>
    <xf numFmtId="0" fontId="3" fillId="0" borderId="0" xfId="0" applyFont="1" applyAlignment="1">
      <alignment horizontal="left" vertical="center" wrapText="1" indent="3"/>
    </xf>
    <xf numFmtId="0" fontId="3" fillId="0" borderId="0" xfId="0" applyFont="1" applyAlignment="1">
      <alignment vertical="center" wrapText="1"/>
    </xf>
    <xf numFmtId="0" fontId="4" fillId="0" borderId="0" xfId="0" applyFont="1" applyAlignment="1">
      <alignment vertical="center" wrapText="1"/>
    </xf>
    <xf numFmtId="0" fontId="2" fillId="0" borderId="0" xfId="0" applyFont="1"/>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vertical="top" wrapText="1"/>
    </xf>
    <xf numFmtId="0" fontId="7" fillId="0" borderId="0" xfId="0" applyFont="1"/>
    <xf numFmtId="0" fontId="3" fillId="0" borderId="0" xfId="0" applyFont="1" applyAlignment="1">
      <alignment horizontal="left" vertical="center" indent="1"/>
    </xf>
    <xf numFmtId="0" fontId="7" fillId="0" borderId="5" xfId="0" applyFont="1" applyBorder="1" applyAlignment="1">
      <alignment vertical="center" wrapText="1"/>
    </xf>
    <xf numFmtId="0" fontId="4" fillId="0" borderId="5"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wrapText="1"/>
    </xf>
    <xf numFmtId="0" fontId="2" fillId="0" borderId="0" xfId="0" applyFont="1" applyAlignment="1">
      <alignment horizontal="center"/>
    </xf>
    <xf numFmtId="0" fontId="6" fillId="0" borderId="0" xfId="0" applyFont="1" applyAlignment="1">
      <alignment vertical="center"/>
    </xf>
    <xf numFmtId="0" fontId="1" fillId="0" borderId="0" xfId="0" applyFont="1"/>
    <xf numFmtId="0" fontId="9" fillId="0" borderId="0" xfId="0" applyFont="1" applyAlignment="1">
      <alignment vertical="center"/>
    </xf>
    <xf numFmtId="166" fontId="11" fillId="0" borderId="0" xfId="0" applyNumberFormat="1" applyFont="1" applyAlignment="1">
      <alignment horizontal="left" vertical="top" wrapText="1"/>
    </xf>
    <xf numFmtId="0" fontId="10" fillId="0" borderId="0" xfId="0" applyFont="1" applyAlignment="1">
      <alignment horizontal="left" vertical="top" wrapText="1"/>
    </xf>
    <xf numFmtId="165" fontId="12" fillId="0" borderId="0" xfId="0" applyNumberFormat="1" applyFont="1" applyAlignment="1">
      <alignment horizontal="left" vertical="top" wrapText="1"/>
    </xf>
    <xf numFmtId="0" fontId="13" fillId="0" borderId="0" xfId="0" applyFont="1" applyAlignment="1">
      <alignment horizontal="left" vertical="top" wrapText="1"/>
    </xf>
    <xf numFmtId="0" fontId="1" fillId="0" borderId="0" xfId="0" applyFont="1" applyAlignment="1">
      <alignment horizontal="left" vertical="top" wrapText="1"/>
    </xf>
    <xf numFmtId="0" fontId="10" fillId="0" borderId="0" xfId="0" applyFont="1" applyAlignment="1">
      <alignment horizontal="left" vertical="center" wrapText="1"/>
    </xf>
    <xf numFmtId="0" fontId="14" fillId="0" borderId="0" xfId="0" applyFont="1"/>
    <xf numFmtId="0" fontId="15" fillId="0" borderId="0" xfId="0" applyFont="1"/>
    <xf numFmtId="0" fontId="16" fillId="0" borderId="0" xfId="0" applyFont="1"/>
    <xf numFmtId="0" fontId="16" fillId="0" borderId="0" xfId="0" applyFont="1" applyAlignment="1">
      <alignment horizontal="right"/>
    </xf>
    <xf numFmtId="164" fontId="16" fillId="0" borderId="2" xfId="1" applyFont="1" applyBorder="1" applyAlignment="1">
      <alignment horizontal="right"/>
    </xf>
    <xf numFmtId="0" fontId="17" fillId="2" borderId="0" xfId="0" applyFont="1" applyFill="1" applyAlignment="1">
      <alignment wrapText="1"/>
    </xf>
    <xf numFmtId="164" fontId="7" fillId="2" borderId="1" xfId="1" applyFont="1" applyFill="1" applyBorder="1"/>
    <xf numFmtId="0" fontId="15" fillId="0" borderId="0" xfId="0" applyFont="1" applyAlignment="1">
      <alignment horizontal="center"/>
    </xf>
    <xf numFmtId="0" fontId="19" fillId="0" borderId="0" xfId="0" applyFont="1"/>
    <xf numFmtId="164" fontId="15" fillId="0" borderId="1" xfId="1" applyFont="1" applyBorder="1" applyAlignment="1">
      <alignment horizontal="right"/>
    </xf>
    <xf numFmtId="164" fontId="16" fillId="0" borderId="0" xfId="1" applyFont="1" applyBorder="1" applyAlignment="1">
      <alignment horizontal="right"/>
    </xf>
    <xf numFmtId="0" fontId="1" fillId="0" borderId="0" xfId="0" applyFont="1" applyAlignment="1">
      <alignment vertical="top"/>
    </xf>
    <xf numFmtId="167" fontId="1" fillId="0" borderId="0" xfId="0" applyNumberFormat="1" applyFont="1" applyAlignment="1">
      <alignment vertical="top"/>
    </xf>
    <xf numFmtId="167" fontId="10" fillId="0" borderId="0" xfId="0" applyNumberFormat="1" applyFont="1" applyAlignment="1">
      <alignment horizontal="center" vertical="top" wrapText="1"/>
    </xf>
    <xf numFmtId="167" fontId="13" fillId="0" borderId="0" xfId="0" applyNumberFormat="1" applyFont="1" applyAlignment="1">
      <alignment horizontal="center" vertical="top" wrapText="1"/>
    </xf>
    <xf numFmtId="167" fontId="10" fillId="0" borderId="0" xfId="0" applyNumberFormat="1" applyFont="1" applyAlignment="1">
      <alignment horizontal="center" vertical="center" wrapText="1"/>
    </xf>
    <xf numFmtId="167" fontId="1" fillId="0" borderId="0" xfId="0" applyNumberFormat="1" applyFont="1"/>
    <xf numFmtId="9" fontId="1" fillId="0" borderId="0" xfId="2" applyFont="1" applyAlignment="1">
      <alignment vertical="top"/>
    </xf>
    <xf numFmtId="9" fontId="10" fillId="0" borderId="0" xfId="2" applyFont="1" applyAlignment="1">
      <alignment horizontal="center" vertical="top" wrapText="1"/>
    </xf>
    <xf numFmtId="9" fontId="10" fillId="0" borderId="0" xfId="2" applyFont="1" applyAlignment="1">
      <alignment horizontal="center" vertical="center" wrapText="1"/>
    </xf>
    <xf numFmtId="9" fontId="1" fillId="0" borderId="0" xfId="2" applyFont="1"/>
    <xf numFmtId="0" fontId="15" fillId="3" borderId="0" xfId="0" applyFont="1" applyFill="1"/>
    <xf numFmtId="0" fontId="16" fillId="3" borderId="0" xfId="0" applyFont="1" applyFill="1"/>
    <xf numFmtId="0" fontId="19" fillId="3" borderId="0" xfId="0" applyFont="1" applyFill="1"/>
    <xf numFmtId="0" fontId="15" fillId="3" borderId="0" xfId="0" applyFont="1" applyFill="1" applyAlignment="1">
      <alignment horizontal="left"/>
    </xf>
    <xf numFmtId="164" fontId="16" fillId="0" borderId="0" xfId="1" applyFont="1" applyAlignment="1">
      <alignment horizontal="right"/>
    </xf>
    <xf numFmtId="164" fontId="15" fillId="0" borderId="0" xfId="1" applyFont="1"/>
    <xf numFmtId="164" fontId="19" fillId="0" borderId="0" xfId="1" applyFont="1"/>
    <xf numFmtId="164" fontId="16" fillId="0" borderId="0" xfId="1" applyFont="1"/>
    <xf numFmtId="164" fontId="16" fillId="3" borderId="2" xfId="1" applyFont="1" applyFill="1" applyBorder="1" applyAlignment="1">
      <alignment horizontal="right"/>
    </xf>
    <xf numFmtId="164" fontId="0" fillId="0" borderId="0" xfId="1" applyFont="1"/>
    <xf numFmtId="164" fontId="2" fillId="0" borderId="2" xfId="1" applyFont="1" applyBorder="1"/>
    <xf numFmtId="0" fontId="4" fillId="0" borderId="0" xfId="1" applyNumberFormat="1" applyFont="1" applyAlignment="1">
      <alignment horizontal="center" vertical="center" wrapText="1"/>
    </xf>
    <xf numFmtId="43" fontId="2" fillId="0" borderId="0" xfId="0" applyNumberFormat="1" applyFont="1"/>
    <xf numFmtId="0" fontId="3" fillId="3" borderId="0" xfId="0" applyFont="1" applyFill="1" applyAlignment="1">
      <alignment vertical="center" wrapText="1"/>
    </xf>
    <xf numFmtId="0" fontId="15" fillId="0" borderId="0" xfId="1" applyNumberFormat="1" applyFont="1" applyAlignment="1">
      <alignment horizontal="center"/>
    </xf>
    <xf numFmtId="0" fontId="15" fillId="3" borderId="0" xfId="1" applyNumberFormat="1" applyFont="1" applyFill="1" applyAlignment="1">
      <alignment horizontal="center"/>
    </xf>
    <xf numFmtId="43" fontId="16" fillId="0" borderId="0" xfId="1" applyNumberFormat="1" applyFont="1" applyAlignment="1">
      <alignment horizontal="right"/>
    </xf>
    <xf numFmtId="164" fontId="16" fillId="3" borderId="0" xfId="1" applyFont="1" applyFill="1" applyAlignment="1">
      <alignment horizontal="right"/>
    </xf>
    <xf numFmtId="164" fontId="15" fillId="3" borderId="0" xfId="1" applyFont="1" applyFill="1"/>
    <xf numFmtId="164" fontId="16" fillId="3" borderId="0" xfId="1" applyFont="1" applyFill="1"/>
    <xf numFmtId="0" fontId="22" fillId="3" borderId="5" xfId="0" applyFont="1" applyFill="1" applyBorder="1" applyAlignment="1" applyProtection="1">
      <alignment vertical="center" wrapText="1"/>
      <protection locked="0"/>
    </xf>
    <xf numFmtId="164" fontId="22" fillId="3" borderId="5" xfId="1" applyFont="1" applyFill="1" applyBorder="1" applyAlignment="1" applyProtection="1">
      <alignment vertical="center" wrapText="1"/>
      <protection locked="0"/>
    </xf>
    <xf numFmtId="0" fontId="17" fillId="0" borderId="0" xfId="0" applyFont="1"/>
    <xf numFmtId="168" fontId="21" fillId="4" borderId="5" xfId="3" applyFont="1" applyFill="1" applyBorder="1" applyAlignment="1">
      <alignment horizontal="center" vertical="center" wrapText="1"/>
    </xf>
    <xf numFmtId="0" fontId="0" fillId="0" borderId="0" xfId="0" applyAlignment="1">
      <alignment horizontal="center"/>
    </xf>
    <xf numFmtId="170" fontId="22" fillId="3" borderId="5" xfId="0" applyNumberFormat="1" applyFont="1" applyFill="1" applyBorder="1" applyAlignment="1" applyProtection="1">
      <alignment horizontal="center" vertical="center"/>
      <protection locked="0"/>
    </xf>
    <xf numFmtId="43" fontId="22" fillId="3" borderId="5" xfId="0" applyNumberFormat="1" applyFont="1" applyFill="1" applyBorder="1" applyAlignment="1" applyProtection="1">
      <alignment vertical="center"/>
      <protection locked="0"/>
    </xf>
    <xf numFmtId="0" fontId="21" fillId="4" borderId="5" xfId="0" applyFont="1" applyFill="1" applyBorder="1" applyAlignment="1">
      <alignment horizontal="center" vertical="center" wrapText="1"/>
    </xf>
    <xf numFmtId="0" fontId="0" fillId="4" borderId="0" xfId="0" applyFill="1"/>
    <xf numFmtId="0" fontId="14" fillId="4" borderId="0" xfId="0" applyFont="1" applyFill="1"/>
    <xf numFmtId="164" fontId="14" fillId="4" borderId="0" xfId="0" applyNumberFormat="1" applyFont="1" applyFill="1"/>
    <xf numFmtId="0" fontId="14" fillId="4" borderId="0" xfId="0" applyFont="1" applyFill="1" applyAlignment="1">
      <alignment horizontal="center"/>
    </xf>
    <xf numFmtId="169" fontId="14" fillId="4" borderId="0" xfId="0" applyNumberFormat="1" applyFont="1" applyFill="1"/>
    <xf numFmtId="0" fontId="22" fillId="3" borderId="5" xfId="0" applyFont="1" applyFill="1" applyBorder="1" applyAlignment="1" applyProtection="1">
      <alignment horizontal="left" vertical="center" wrapText="1"/>
      <protection locked="0"/>
    </xf>
    <xf numFmtId="0" fontId="22" fillId="3" borderId="10" xfId="0" applyFont="1" applyFill="1" applyBorder="1" applyAlignment="1" applyProtection="1">
      <alignment horizontal="left" vertical="center" wrapText="1"/>
      <protection locked="0"/>
    </xf>
    <xf numFmtId="49" fontId="22" fillId="3" borderId="5" xfId="0" applyNumberFormat="1" applyFont="1" applyFill="1" applyBorder="1" applyAlignment="1" applyProtection="1">
      <alignment horizontal="center" vertical="center"/>
      <protection locked="0"/>
    </xf>
    <xf numFmtId="49" fontId="22" fillId="3" borderId="8" xfId="0" applyNumberFormat="1" applyFont="1" applyFill="1" applyBorder="1" applyAlignment="1" applyProtection="1">
      <alignment horizontal="center" vertical="center" wrapText="1"/>
      <protection locked="0"/>
    </xf>
    <xf numFmtId="49" fontId="22" fillId="3" borderId="9" xfId="0" applyNumberFormat="1" applyFont="1" applyFill="1" applyBorder="1" applyAlignment="1" applyProtection="1">
      <alignment horizontal="center" vertical="center" wrapText="1"/>
      <protection locked="0"/>
    </xf>
    <xf numFmtId="49" fontId="22" fillId="3" borderId="9" xfId="0" applyNumberFormat="1" applyFont="1" applyFill="1" applyBorder="1" applyAlignment="1" applyProtection="1">
      <alignment horizontal="center" vertical="center"/>
      <protection locked="0"/>
    </xf>
    <xf numFmtId="169" fontId="22" fillId="3" borderId="5" xfId="0" applyNumberFormat="1" applyFont="1" applyFill="1" applyBorder="1" applyAlignment="1" applyProtection="1">
      <alignment vertical="center" wrapText="1"/>
      <protection locked="0"/>
    </xf>
    <xf numFmtId="164" fontId="14" fillId="4" borderId="0" xfId="1" applyFont="1" applyFill="1"/>
    <xf numFmtId="164" fontId="14" fillId="4" borderId="0" xfId="1" applyFont="1" applyFill="1" applyAlignment="1">
      <alignment horizontal="center"/>
    </xf>
    <xf numFmtId="0" fontId="0" fillId="0" borderId="0" xfId="0" applyAlignment="1">
      <alignment wrapText="1"/>
    </xf>
    <xf numFmtId="0" fontId="22" fillId="3" borderId="5" xfId="0" applyFont="1" applyFill="1" applyBorder="1" applyAlignment="1" applyProtection="1">
      <alignment horizontal="center" vertical="center" wrapText="1"/>
      <protection locked="0"/>
    </xf>
    <xf numFmtId="0" fontId="14" fillId="4" borderId="0" xfId="0" applyFont="1" applyFill="1" applyAlignment="1">
      <alignment wrapText="1"/>
    </xf>
    <xf numFmtId="0" fontId="0" fillId="4" borderId="0" xfId="0" applyFill="1" applyAlignment="1">
      <alignment wrapText="1"/>
    </xf>
    <xf numFmtId="0" fontId="21" fillId="6" borderId="5" xfId="0" applyFont="1" applyFill="1" applyBorder="1" applyAlignment="1">
      <alignment horizontal="center" vertical="center" wrapText="1"/>
    </xf>
    <xf numFmtId="0" fontId="22" fillId="5" borderId="0" xfId="0" applyFont="1" applyFill="1" applyAlignment="1" applyProtection="1">
      <alignment vertical="center"/>
      <protection locked="0"/>
    </xf>
    <xf numFmtId="164" fontId="21" fillId="6" borderId="0" xfId="1" applyFont="1" applyFill="1" applyBorder="1" applyAlignment="1" applyProtection="1">
      <alignment vertical="center"/>
      <protection locked="0"/>
    </xf>
    <xf numFmtId="49" fontId="23" fillId="0" borderId="10" xfId="0" applyNumberFormat="1" applyFont="1" applyBorder="1" applyAlignment="1">
      <alignment horizontal="left" wrapText="1"/>
    </xf>
    <xf numFmtId="0" fontId="24" fillId="0" borderId="10" xfId="0" applyFont="1" applyBorder="1" applyAlignment="1">
      <alignment wrapText="1"/>
    </xf>
    <xf numFmtId="164" fontId="7" fillId="0" borderId="0" xfId="0" applyNumberFormat="1" applyFont="1"/>
    <xf numFmtId="0" fontId="14" fillId="0" borderId="5" xfId="0" applyFont="1" applyBorder="1" applyAlignment="1">
      <alignment wrapText="1"/>
    </xf>
    <xf numFmtId="164" fontId="0" fillId="0" borderId="5" xfId="1" applyFont="1" applyBorder="1"/>
    <xf numFmtId="164" fontId="0" fillId="0" borderId="5" xfId="1" applyFont="1" applyFill="1" applyBorder="1"/>
    <xf numFmtId="0" fontId="0" fillId="0" borderId="5" xfId="0" applyBorder="1"/>
    <xf numFmtId="0" fontId="0" fillId="0" borderId="6" xfId="0" applyBorder="1"/>
    <xf numFmtId="164" fontId="0" fillId="0" borderId="6" xfId="1" applyFont="1" applyBorder="1"/>
    <xf numFmtId="0" fontId="14" fillId="0" borderId="7" xfId="0" applyFont="1" applyBorder="1"/>
    <xf numFmtId="164" fontId="14" fillId="0" borderId="7" xfId="1" applyFont="1" applyFill="1" applyBorder="1"/>
    <xf numFmtId="0" fontId="0" fillId="0" borderId="5" xfId="0" applyBorder="1" applyAlignment="1">
      <alignment wrapText="1"/>
    </xf>
    <xf numFmtId="43" fontId="0" fillId="0" borderId="5" xfId="1" applyNumberFormat="1" applyFont="1" applyBorder="1"/>
    <xf numFmtId="43" fontId="0" fillId="0" borderId="9" xfId="1" applyNumberFormat="1" applyFont="1" applyFill="1" applyBorder="1" applyAlignment="1"/>
    <xf numFmtId="43" fontId="0" fillId="0" borderId="5" xfId="1" applyNumberFormat="1" applyFont="1" applyFill="1" applyBorder="1" applyAlignment="1"/>
    <xf numFmtId="43" fontId="0" fillId="0" borderId="10" xfId="1" applyNumberFormat="1" applyFont="1" applyFill="1" applyBorder="1" applyAlignment="1"/>
    <xf numFmtId="43" fontId="0" fillId="0" borderId="6" xfId="1" applyNumberFormat="1" applyFont="1" applyBorder="1"/>
    <xf numFmtId="43" fontId="0" fillId="0" borderId="6" xfId="1" applyNumberFormat="1" applyFont="1" applyFill="1" applyBorder="1"/>
    <xf numFmtId="43" fontId="14" fillId="0" borderId="7" xfId="1" applyNumberFormat="1" applyFont="1" applyFill="1" applyBorder="1"/>
    <xf numFmtId="0" fontId="26" fillId="0" borderId="0" xfId="0" applyFont="1"/>
    <xf numFmtId="0" fontId="2" fillId="7" borderId="5" xfId="0" applyFont="1" applyFill="1" applyBorder="1"/>
    <xf numFmtId="0" fontId="7" fillId="7" borderId="5" xfId="0" applyFont="1" applyFill="1" applyBorder="1" applyAlignment="1">
      <alignment horizontal="center"/>
    </xf>
    <xf numFmtId="0" fontId="7" fillId="7" borderId="5" xfId="0" applyFont="1" applyFill="1" applyBorder="1" applyAlignment="1">
      <alignment horizontal="center" wrapText="1"/>
    </xf>
    <xf numFmtId="43" fontId="0" fillId="0" borderId="0" xfId="0" applyNumberFormat="1"/>
    <xf numFmtId="43" fontId="16" fillId="3" borderId="0" xfId="1" applyNumberFormat="1" applyFont="1" applyFill="1" applyBorder="1" applyAlignment="1">
      <alignment horizontal="right"/>
    </xf>
    <xf numFmtId="43" fontId="16" fillId="3" borderId="2" xfId="1" applyNumberFormat="1" applyFont="1" applyFill="1" applyBorder="1" applyAlignment="1">
      <alignment horizontal="right"/>
    </xf>
    <xf numFmtId="43" fontId="3" fillId="3" borderId="0" xfId="1" applyNumberFormat="1" applyFont="1" applyFill="1" applyAlignment="1">
      <alignment horizontal="center" vertical="center" wrapText="1"/>
    </xf>
    <xf numFmtId="164" fontId="16" fillId="0" borderId="0" xfId="1" applyFont="1" applyAlignment="1">
      <alignment horizontal="center"/>
    </xf>
    <xf numFmtId="164" fontId="16" fillId="0" borderId="0" xfId="1" applyFont="1" applyFill="1"/>
    <xf numFmtId="0" fontId="15" fillId="0" borderId="0" xfId="1" applyNumberFormat="1" applyFont="1" applyFill="1" applyAlignment="1">
      <alignment horizontal="center"/>
    </xf>
    <xf numFmtId="43" fontId="3" fillId="0" borderId="2" xfId="1" applyNumberFormat="1" applyFont="1" applyBorder="1" applyAlignment="1">
      <alignment horizontal="center" vertical="center" wrapText="1"/>
    </xf>
    <xf numFmtId="43" fontId="4" fillId="0" borderId="2" xfId="1" applyNumberFormat="1" applyFont="1" applyBorder="1" applyAlignment="1">
      <alignment horizontal="center" vertical="center" wrapText="1"/>
    </xf>
    <xf numFmtId="0" fontId="16" fillId="3" borderId="0" xfId="0" applyFont="1" applyFill="1" applyAlignment="1">
      <alignment horizontal="left" vertical="top" wrapText="1"/>
    </xf>
    <xf numFmtId="164" fontId="0" fillId="3" borderId="0" xfId="1" applyFont="1" applyFill="1"/>
    <xf numFmtId="0" fontId="4" fillId="3" borderId="0" xfId="0" applyFont="1" applyFill="1" applyAlignment="1">
      <alignment horizontal="left" vertical="center" indent="5"/>
    </xf>
    <xf numFmtId="164" fontId="0" fillId="3" borderId="5" xfId="1" applyFont="1" applyFill="1" applyBorder="1"/>
    <xf numFmtId="0" fontId="16" fillId="3" borderId="0" xfId="0" applyFont="1" applyFill="1" applyAlignment="1">
      <alignment horizontal="right"/>
    </xf>
    <xf numFmtId="172" fontId="16" fillId="3" borderId="2" xfId="1" applyNumberFormat="1" applyFont="1" applyFill="1" applyBorder="1" applyAlignment="1">
      <alignment horizontal="right"/>
    </xf>
    <xf numFmtId="164" fontId="15" fillId="0" borderId="0" xfId="1" applyFont="1" applyBorder="1" applyAlignment="1">
      <alignment horizontal="right"/>
    </xf>
    <xf numFmtId="0" fontId="17" fillId="3" borderId="0" xfId="0" applyFont="1" applyFill="1"/>
    <xf numFmtId="0" fontId="0" fillId="3" borderId="0" xfId="0" applyFill="1" applyAlignment="1">
      <alignment wrapText="1"/>
    </xf>
    <xf numFmtId="0" fontId="0" fillId="3" borderId="0" xfId="0" applyFill="1"/>
    <xf numFmtId="167" fontId="16" fillId="0" borderId="0" xfId="0" applyNumberFormat="1" applyFont="1"/>
    <xf numFmtId="164" fontId="3" fillId="0" borderId="0" xfId="1" applyFont="1" applyAlignment="1">
      <alignment horizontal="right" vertical="center"/>
    </xf>
    <xf numFmtId="164" fontId="4" fillId="0" borderId="4" xfId="1" applyFont="1" applyBorder="1" applyAlignment="1">
      <alignment horizontal="right" vertical="center"/>
    </xf>
    <xf numFmtId="43" fontId="3" fillId="0" borderId="0" xfId="1" applyNumberFormat="1" applyFont="1" applyAlignment="1">
      <alignment horizontal="right" vertical="center"/>
    </xf>
    <xf numFmtId="43" fontId="4" fillId="0" borderId="4" xfId="1" applyNumberFormat="1" applyFont="1" applyBorder="1" applyAlignment="1">
      <alignment horizontal="right" vertical="center"/>
    </xf>
    <xf numFmtId="172" fontId="16" fillId="3" borderId="0" xfId="1" applyNumberFormat="1" applyFont="1" applyFill="1" applyBorder="1" applyAlignment="1">
      <alignment horizontal="right"/>
    </xf>
    <xf numFmtId="0" fontId="28" fillId="3" borderId="0" xfId="0" applyFont="1" applyFill="1" applyAlignment="1">
      <alignment horizontal="right"/>
    </xf>
    <xf numFmtId="0" fontId="29" fillId="3" borderId="0" xfId="0" applyFont="1" applyFill="1"/>
    <xf numFmtId="43" fontId="15" fillId="3" borderId="1" xfId="1" applyNumberFormat="1" applyFont="1" applyFill="1" applyBorder="1" applyAlignment="1">
      <alignment horizontal="right"/>
    </xf>
    <xf numFmtId="0" fontId="15" fillId="3" borderId="0" xfId="0" applyFont="1" applyFill="1" applyAlignment="1">
      <alignment horizontal="left" vertical="top" wrapText="1"/>
    </xf>
    <xf numFmtId="164" fontId="15" fillId="0" borderId="3" xfId="1" applyFont="1" applyBorder="1"/>
    <xf numFmtId="0" fontId="15" fillId="0" borderId="0" xfId="0" applyFont="1" applyAlignment="1">
      <alignment horizontal="left"/>
    </xf>
    <xf numFmtId="164" fontId="15" fillId="3" borderId="1" xfId="1" applyFont="1" applyFill="1" applyBorder="1" applyAlignment="1">
      <alignment horizontal="right"/>
    </xf>
    <xf numFmtId="0" fontId="31" fillId="3" borderId="0" xfId="0" applyFont="1" applyFill="1"/>
    <xf numFmtId="0" fontId="29" fillId="0" borderId="0" xfId="0" applyFont="1"/>
    <xf numFmtId="171" fontId="4" fillId="0" borderId="3" xfId="1"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171" fontId="2" fillId="0" borderId="0" xfId="1" applyNumberFormat="1" applyFont="1"/>
    <xf numFmtId="171" fontId="2" fillId="0" borderId="0" xfId="1" applyNumberFormat="1" applyFont="1" applyAlignment="1">
      <alignment vertical="center" wrapText="1"/>
    </xf>
    <xf numFmtId="171" fontId="3" fillId="0" borderId="0" xfId="1" applyNumberFormat="1" applyFont="1" applyAlignment="1">
      <alignment horizontal="justify" vertical="center" wrapText="1"/>
    </xf>
    <xf numFmtId="171" fontId="2" fillId="0" borderId="2" xfId="1" applyNumberFormat="1" applyFont="1" applyBorder="1"/>
    <xf numFmtId="171" fontId="2" fillId="0" borderId="0" xfId="0" applyNumberFormat="1" applyFont="1" applyAlignment="1">
      <alignment horizontal="center" wrapText="1"/>
    </xf>
    <xf numFmtId="171" fontId="2" fillId="0" borderId="0" xfId="0" applyNumberFormat="1" applyFont="1" applyAlignment="1">
      <alignment horizontal="center"/>
    </xf>
    <xf numFmtId="0" fontId="15" fillId="3" borderId="0" xfId="0" applyFont="1" applyFill="1" applyAlignment="1">
      <alignment horizontal="right"/>
    </xf>
    <xf numFmtId="0" fontId="19" fillId="3" borderId="0" xfId="0" applyFont="1" applyFill="1" applyAlignment="1">
      <alignment horizontal="left" vertical="top" wrapText="1"/>
    </xf>
    <xf numFmtId="0" fontId="18" fillId="0" borderId="0" xfId="0" applyFont="1" applyAlignment="1">
      <alignment vertical="center"/>
    </xf>
    <xf numFmtId="172" fontId="28" fillId="3" borderId="0" xfId="0" applyNumberFormat="1" applyFont="1" applyFill="1" applyAlignment="1">
      <alignment horizontal="left"/>
    </xf>
    <xf numFmtId="43" fontId="16" fillId="0" borderId="0" xfId="1" applyNumberFormat="1" applyFont="1" applyBorder="1" applyAlignment="1">
      <alignment horizontal="right"/>
    </xf>
    <xf numFmtId="43" fontId="16" fillId="3" borderId="0" xfId="1" applyNumberFormat="1" applyFont="1" applyFill="1" applyBorder="1" applyAlignment="1"/>
    <xf numFmtId="0" fontId="16" fillId="3" borderId="0" xfId="0" applyFont="1" applyFill="1" applyAlignment="1">
      <alignment horizontal="left"/>
    </xf>
    <xf numFmtId="164" fontId="0" fillId="3" borderId="5" xfId="1" applyFont="1" applyFill="1" applyBorder="1" applyAlignment="1"/>
    <xf numFmtId="164" fontId="0" fillId="3" borderId="6" xfId="1" applyFont="1" applyFill="1" applyBorder="1"/>
    <xf numFmtId="164" fontId="14" fillId="3" borderId="7" xfId="1" applyFont="1" applyFill="1" applyBorder="1"/>
    <xf numFmtId="43" fontId="0" fillId="3" borderId="9" xfId="1" applyNumberFormat="1" applyFont="1" applyFill="1" applyBorder="1" applyAlignment="1"/>
    <xf numFmtId="43" fontId="14" fillId="3" borderId="7" xfId="1" applyNumberFormat="1" applyFont="1" applyFill="1" applyBorder="1"/>
    <xf numFmtId="0" fontId="32" fillId="0" borderId="0" xfId="0" applyFont="1"/>
    <xf numFmtId="164" fontId="32" fillId="0" borderId="0" xfId="1" applyFont="1"/>
    <xf numFmtId="0" fontId="33" fillId="0" borderId="0" xfId="1" applyNumberFormat="1" applyFont="1" applyAlignment="1">
      <alignment horizontal="center"/>
    </xf>
    <xf numFmtId="0" fontId="32" fillId="0" borderId="0" xfId="0" applyFont="1" applyAlignment="1">
      <alignment horizontal="left" vertical="center"/>
    </xf>
    <xf numFmtId="164" fontId="32" fillId="0" borderId="0" xfId="1" applyFont="1" applyBorder="1" applyAlignment="1">
      <alignment horizontal="right"/>
    </xf>
    <xf numFmtId="164" fontId="32" fillId="0" borderId="0" xfId="1" applyFont="1" applyAlignment="1">
      <alignment horizontal="right"/>
    </xf>
    <xf numFmtId="164" fontId="32" fillId="0" borderId="2" xfId="1" applyFont="1" applyBorder="1"/>
    <xf numFmtId="49" fontId="22" fillId="3" borderId="5" xfId="0" applyNumberFormat="1" applyFont="1" applyFill="1" applyBorder="1" applyAlignment="1">
      <alignment horizontal="left" vertical="center"/>
    </xf>
    <xf numFmtId="14" fontId="22" fillId="3" borderId="5" xfId="0" applyNumberFormat="1" applyFont="1" applyFill="1" applyBorder="1" applyAlignment="1" applyProtection="1">
      <alignment horizontal="center" vertical="center" wrapText="1"/>
      <protection locked="0"/>
    </xf>
    <xf numFmtId="14" fontId="22" fillId="3" borderId="10" xfId="0" applyNumberFormat="1" applyFont="1" applyFill="1" applyBorder="1" applyAlignment="1" applyProtection="1">
      <alignment horizontal="center" vertical="center" wrapText="1"/>
      <protection locked="0"/>
    </xf>
    <xf numFmtId="170" fontId="22" fillId="3" borderId="10" xfId="0" applyNumberFormat="1" applyFont="1" applyFill="1" applyBorder="1" applyAlignment="1" applyProtection="1">
      <alignment horizontal="center" vertical="center"/>
      <protection locked="0"/>
    </xf>
    <xf numFmtId="170" fontId="0" fillId="0" borderId="0" xfId="0" applyNumberFormat="1"/>
    <xf numFmtId="169" fontId="22" fillId="3" borderId="10" xfId="0" applyNumberFormat="1" applyFont="1" applyFill="1" applyBorder="1" applyAlignment="1" applyProtection="1">
      <alignment vertical="center" wrapText="1"/>
      <protection locked="0"/>
    </xf>
    <xf numFmtId="170" fontId="22" fillId="3" borderId="9" xfId="0" applyNumberFormat="1" applyFont="1" applyFill="1" applyBorder="1" applyAlignment="1" applyProtection="1">
      <alignment horizontal="center" vertical="center"/>
      <protection locked="0"/>
    </xf>
    <xf numFmtId="170" fontId="22" fillId="3" borderId="4" xfId="0" applyNumberFormat="1" applyFont="1" applyFill="1" applyBorder="1" applyAlignment="1" applyProtection="1">
      <alignment horizontal="center" vertical="center"/>
      <protection locked="0"/>
    </xf>
    <xf numFmtId="0" fontId="24" fillId="0" borderId="10" xfId="0" applyFont="1" applyBorder="1" applyAlignment="1">
      <alignment vertical="center" wrapText="1"/>
    </xf>
    <xf numFmtId="49" fontId="23" fillId="0" borderId="10" xfId="0" applyNumberFormat="1" applyFont="1" applyBorder="1" applyAlignment="1">
      <alignment horizontal="left" vertical="center" wrapText="1"/>
    </xf>
    <xf numFmtId="164" fontId="16" fillId="0" borderId="2" xfId="1" applyFont="1" applyBorder="1" applyAlignment="1">
      <alignment horizontal="center"/>
    </xf>
    <xf numFmtId="43" fontId="4" fillId="0" borderId="0" xfId="1" applyNumberFormat="1" applyFont="1" applyAlignment="1">
      <alignment horizontal="right" vertical="center" wrapText="1"/>
    </xf>
    <xf numFmtId="44" fontId="10" fillId="0" borderId="0" xfId="0" applyNumberFormat="1" applyFont="1" applyAlignment="1">
      <alignment horizontal="center" vertical="center" wrapText="1"/>
    </xf>
    <xf numFmtId="44" fontId="10" fillId="0" borderId="0" xfId="0" applyNumberFormat="1" applyFont="1" applyAlignment="1">
      <alignment horizontal="center" vertical="top" wrapText="1"/>
    </xf>
    <xf numFmtId="0" fontId="16" fillId="3" borderId="0" xfId="0" applyFont="1" applyFill="1" applyAlignment="1">
      <alignment vertical="center" wrapText="1"/>
    </xf>
    <xf numFmtId="0" fontId="36" fillId="3" borderId="0" xfId="0" applyFont="1" applyFill="1" applyAlignment="1">
      <alignment vertical="center" wrapText="1"/>
    </xf>
    <xf numFmtId="49" fontId="33" fillId="0" borderId="0" xfId="1" applyNumberFormat="1" applyFont="1" applyAlignment="1">
      <alignment horizontal="center"/>
    </xf>
    <xf numFmtId="164" fontId="4" fillId="0" borderId="4" xfId="1" applyFont="1" applyBorder="1" applyAlignment="1">
      <alignment horizontal="center" vertical="center" wrapText="1"/>
    </xf>
    <xf numFmtId="43" fontId="3" fillId="0" borderId="0" xfId="1" applyNumberFormat="1" applyFont="1" applyAlignment="1">
      <alignment horizontal="center" vertical="center" wrapText="1"/>
    </xf>
    <xf numFmtId="43" fontId="16" fillId="0" borderId="2" xfId="1" applyNumberFormat="1" applyFont="1" applyFill="1" applyBorder="1" applyAlignment="1">
      <alignment horizontal="right"/>
    </xf>
    <xf numFmtId="164" fontId="3" fillId="0" borderId="0" xfId="1" applyFont="1" applyAlignment="1">
      <alignment horizontal="center" vertical="center" wrapText="1"/>
    </xf>
    <xf numFmtId="164" fontId="2" fillId="0" borderId="0" xfId="1" applyFont="1" applyAlignment="1">
      <alignment vertical="center" wrapText="1"/>
    </xf>
    <xf numFmtId="43" fontId="4" fillId="0" borderId="0" xfId="1" applyNumberFormat="1" applyFont="1" applyAlignment="1">
      <alignment horizontal="center" vertical="center" wrapText="1"/>
    </xf>
    <xf numFmtId="164" fontId="3" fillId="0" borderId="2" xfId="1" applyFont="1" applyBorder="1" applyAlignment="1">
      <alignment horizontal="center" vertical="center" wrapText="1"/>
    </xf>
    <xf numFmtId="164" fontId="4" fillId="0" borderId="3" xfId="1" applyFont="1" applyBorder="1" applyAlignment="1">
      <alignment horizontal="center" vertical="center" wrapText="1"/>
    </xf>
    <xf numFmtId="43" fontId="2" fillId="0" borderId="0" xfId="1" applyNumberFormat="1" applyFont="1"/>
    <xf numFmtId="43" fontId="3" fillId="0" borderId="0" xfId="1" applyNumberFormat="1" applyFont="1" applyBorder="1" applyAlignment="1">
      <alignment horizontal="center" vertical="center" wrapText="1"/>
    </xf>
    <xf numFmtId="164" fontId="33" fillId="0" borderId="4" xfId="1" applyFont="1" applyBorder="1"/>
    <xf numFmtId="43" fontId="32" fillId="0" borderId="0" xfId="1" applyNumberFormat="1" applyFont="1"/>
    <xf numFmtId="43" fontId="32" fillId="0" borderId="2" xfId="1" applyNumberFormat="1" applyFont="1" applyBorder="1"/>
    <xf numFmtId="164" fontId="0" fillId="0" borderId="2" xfId="1" applyFont="1" applyBorder="1"/>
    <xf numFmtId="43" fontId="16" fillId="3" borderId="0" xfId="1" applyNumberFormat="1" applyFont="1" applyFill="1" applyAlignment="1">
      <alignment horizontal="right"/>
    </xf>
    <xf numFmtId="4" fontId="0" fillId="3" borderId="0" xfId="0" applyNumberFormat="1" applyFill="1"/>
    <xf numFmtId="164" fontId="16" fillId="3" borderId="0" xfId="1" applyFont="1" applyFill="1" applyBorder="1" applyAlignment="1">
      <alignment horizontal="right"/>
    </xf>
    <xf numFmtId="164" fontId="16" fillId="3" borderId="0" xfId="1" applyFont="1" applyFill="1" applyAlignment="1">
      <alignment horizontal="center"/>
    </xf>
    <xf numFmtId="0" fontId="16" fillId="3" borderId="0" xfId="0" applyFont="1" applyFill="1" applyAlignment="1">
      <alignment horizontal="left" wrapText="1"/>
    </xf>
    <xf numFmtId="164" fontId="16" fillId="3" borderId="0" xfId="1" applyFont="1" applyFill="1" applyBorder="1"/>
    <xf numFmtId="164" fontId="15" fillId="3" borderId="3" xfId="1" applyFont="1" applyFill="1" applyBorder="1"/>
    <xf numFmtId="0" fontId="16" fillId="3" borderId="0" xfId="0" applyFont="1" applyFill="1" applyAlignment="1">
      <alignment wrapText="1"/>
    </xf>
    <xf numFmtId="164" fontId="16" fillId="3" borderId="0" xfId="1" applyFont="1" applyFill="1" applyAlignment="1">
      <alignment horizontal="left" wrapText="1"/>
    </xf>
    <xf numFmtId="164" fontId="14" fillId="3" borderId="3" xfId="1" applyFont="1" applyFill="1" applyBorder="1" applyAlignment="1">
      <alignment vertical="center"/>
    </xf>
    <xf numFmtId="171" fontId="15" fillId="3" borderId="1" xfId="1" applyNumberFormat="1" applyFont="1" applyFill="1" applyBorder="1" applyAlignment="1">
      <alignment horizontal="right"/>
    </xf>
    <xf numFmtId="164" fontId="16" fillId="3" borderId="2" xfId="1" applyFont="1" applyFill="1" applyBorder="1" applyAlignment="1">
      <alignment horizontal="center"/>
    </xf>
    <xf numFmtId="0" fontId="38" fillId="0" borderId="0" xfId="0" applyFont="1"/>
    <xf numFmtId="164" fontId="38" fillId="0" borderId="0" xfId="0" applyNumberFormat="1" applyFont="1"/>
    <xf numFmtId="43" fontId="38" fillId="0" borderId="0" xfId="0" applyNumberFormat="1" applyFont="1"/>
    <xf numFmtId="0" fontId="39" fillId="0" borderId="0" xfId="0" applyFont="1" applyAlignment="1">
      <alignment horizontal="left" vertical="center" wrapText="1"/>
    </xf>
    <xf numFmtId="164" fontId="39" fillId="0" borderId="0" xfId="0" applyNumberFormat="1" applyFont="1" applyAlignment="1">
      <alignment horizontal="center" vertical="center" wrapText="1"/>
    </xf>
    <xf numFmtId="0" fontId="40" fillId="0" borderId="0" xfId="0" applyFont="1" applyAlignment="1">
      <alignment horizontal="center"/>
    </xf>
    <xf numFmtId="171" fontId="38" fillId="0" borderId="0" xfId="0" applyNumberFormat="1" applyFont="1"/>
    <xf numFmtId="0" fontId="41" fillId="0" borderId="0" xfId="0" applyFont="1" applyAlignment="1">
      <alignment horizontal="left" vertical="center" wrapText="1" indent="1"/>
    </xf>
    <xf numFmtId="164" fontId="41" fillId="0" borderId="0" xfId="1" applyFont="1" applyAlignment="1">
      <alignment horizontal="center" vertical="center" wrapText="1"/>
    </xf>
    <xf numFmtId="164" fontId="41" fillId="0" borderId="2" xfId="1" applyFont="1" applyBorder="1" applyAlignment="1">
      <alignment horizontal="center" vertical="center" wrapText="1"/>
    </xf>
    <xf numFmtId="164" fontId="39" fillId="0" borderId="2" xfId="1" applyFont="1" applyBorder="1" applyAlignment="1">
      <alignment horizontal="center" vertical="center" wrapText="1"/>
    </xf>
    <xf numFmtId="164" fontId="39" fillId="0" borderId="0" xfId="1" applyFont="1" applyAlignment="1">
      <alignment horizontal="center" vertical="center" wrapText="1"/>
    </xf>
    <xf numFmtId="164" fontId="42" fillId="0" borderId="0" xfId="1" applyFont="1" applyAlignment="1">
      <alignment horizontal="center" vertical="center" wrapText="1"/>
    </xf>
    <xf numFmtId="164" fontId="39" fillId="0" borderId="4" xfId="1" applyFont="1" applyBorder="1" applyAlignment="1">
      <alignment horizontal="center" vertical="center" wrapText="1"/>
    </xf>
    <xf numFmtId="164" fontId="41" fillId="0" borderId="0" xfId="1" applyFont="1" applyAlignment="1">
      <alignment horizontal="right" vertical="center" wrapText="1"/>
    </xf>
    <xf numFmtId="0" fontId="41" fillId="0" borderId="0" xfId="0" applyFont="1" applyAlignment="1">
      <alignment horizontal="left" vertical="center" wrapText="1"/>
    </xf>
    <xf numFmtId="0" fontId="43" fillId="0" borderId="0" xfId="0" applyFont="1"/>
    <xf numFmtId="164" fontId="39" fillId="0" borderId="3" xfId="1" applyFont="1" applyBorder="1" applyAlignment="1">
      <alignment horizontal="center" vertical="center" wrapText="1"/>
    </xf>
    <xf numFmtId="0" fontId="38" fillId="0" borderId="0" xfId="0" applyFont="1" applyAlignment="1">
      <alignment horizontal="left"/>
    </xf>
    <xf numFmtId="43" fontId="41" fillId="0" borderId="0" xfId="1" applyNumberFormat="1" applyFont="1" applyAlignment="1">
      <alignment horizontal="center" wrapText="1"/>
    </xf>
    <xf numFmtId="0" fontId="44" fillId="0" borderId="0" xfId="0" applyFont="1" applyAlignment="1">
      <alignment horizontal="left" vertical="center" wrapText="1"/>
    </xf>
    <xf numFmtId="164" fontId="44" fillId="0" borderId="0" xfId="0" applyNumberFormat="1" applyFont="1"/>
    <xf numFmtId="0" fontId="44" fillId="0" borderId="0" xfId="0" applyFont="1"/>
    <xf numFmtId="164" fontId="44" fillId="0" borderId="0" xfId="1" applyFont="1" applyAlignment="1">
      <alignment vertical="center" wrapText="1"/>
    </xf>
    <xf numFmtId="164" fontId="44" fillId="0" borderId="0" xfId="1" applyFont="1"/>
    <xf numFmtId="164" fontId="44" fillId="0" borderId="2" xfId="1" applyFont="1" applyBorder="1"/>
    <xf numFmtId="0" fontId="44" fillId="0" borderId="0" xfId="0" applyFont="1" applyAlignment="1">
      <alignment horizontal="left"/>
    </xf>
    <xf numFmtId="164" fontId="16" fillId="3" borderId="2" xfId="1" applyFont="1" applyFill="1" applyBorder="1" applyAlignment="1">
      <alignment horizontal="left" wrapText="1"/>
    </xf>
    <xf numFmtId="44" fontId="7" fillId="2" borderId="1" xfId="1" applyNumberFormat="1" applyFont="1" applyFill="1" applyBorder="1"/>
    <xf numFmtId="43" fontId="0" fillId="3" borderId="5" xfId="1" applyNumberFormat="1" applyFont="1" applyFill="1" applyBorder="1" applyAlignment="1"/>
    <xf numFmtId="43" fontId="0" fillId="3" borderId="10" xfId="1" applyNumberFormat="1" applyFont="1" applyFill="1" applyBorder="1" applyAlignment="1"/>
    <xf numFmtId="43" fontId="0" fillId="3" borderId="5" xfId="1" applyNumberFormat="1" applyFont="1" applyFill="1" applyBorder="1"/>
    <xf numFmtId="43" fontId="0" fillId="3" borderId="6" xfId="1" applyNumberFormat="1" applyFont="1" applyFill="1" applyBorder="1"/>
    <xf numFmtId="167" fontId="2" fillId="0" borderId="0" xfId="0" applyNumberFormat="1" applyFont="1"/>
    <xf numFmtId="9" fontId="2" fillId="0" borderId="0" xfId="2" applyFont="1" applyBorder="1"/>
    <xf numFmtId="9" fontId="1" fillId="0" borderId="0" xfId="2" applyFont="1" applyBorder="1"/>
    <xf numFmtId="0" fontId="3" fillId="0" borderId="0" xfId="0" applyFont="1" applyAlignment="1">
      <alignment vertical="center"/>
    </xf>
    <xf numFmtId="164" fontId="32" fillId="0" borderId="0" xfId="1" applyFont="1" applyBorder="1"/>
    <xf numFmtId="0" fontId="32" fillId="0" borderId="0" xfId="0" applyFont="1" applyAlignment="1">
      <alignment horizontal="center" vertical="center"/>
    </xf>
    <xf numFmtId="0" fontId="32" fillId="0" borderId="0" xfId="0" applyFont="1" applyAlignment="1">
      <alignment horizontal="center" vertical="top"/>
    </xf>
    <xf numFmtId="0" fontId="32" fillId="0" borderId="0" xfId="0" applyFont="1" applyAlignment="1">
      <alignment horizontal="center"/>
    </xf>
    <xf numFmtId="164" fontId="2" fillId="0" borderId="0" xfId="1" applyFont="1" applyBorder="1"/>
    <xf numFmtId="164" fontId="1" fillId="0" borderId="0" xfId="1" applyFont="1" applyBorder="1"/>
    <xf numFmtId="164" fontId="44" fillId="0" borderId="0" xfId="0" applyNumberFormat="1" applyFont="1" applyAlignment="1">
      <alignment horizontal="center"/>
    </xf>
    <xf numFmtId="0" fontId="39" fillId="0" borderId="0" xfId="0" applyFont="1" applyAlignment="1">
      <alignment horizontal="center" vertical="center" wrapText="1"/>
    </xf>
    <xf numFmtId="173" fontId="0" fillId="3" borderId="0" xfId="1" applyNumberFormat="1" applyFont="1" applyFill="1"/>
    <xf numFmtId="173" fontId="15" fillId="3" borderId="1" xfId="1" applyNumberFormat="1" applyFont="1" applyFill="1" applyBorder="1" applyAlignment="1">
      <alignment horizontal="right"/>
    </xf>
    <xf numFmtId="41" fontId="4" fillId="0" borderId="3" xfId="1" applyNumberFormat="1" applyFont="1" applyBorder="1" applyAlignment="1">
      <alignment horizontal="center" vertical="center" wrapText="1"/>
    </xf>
    <xf numFmtId="171" fontId="3" fillId="3" borderId="2" xfId="1" applyNumberFormat="1" applyFont="1" applyFill="1" applyBorder="1" applyAlignment="1">
      <alignment horizontal="center" vertical="center" wrapText="1"/>
    </xf>
    <xf numFmtId="164" fontId="15" fillId="0" borderId="3" xfId="0" applyNumberFormat="1" applyFont="1" applyBorder="1"/>
    <xf numFmtId="43" fontId="4" fillId="3" borderId="3" xfId="1" applyNumberFormat="1" applyFont="1" applyFill="1" applyBorder="1" applyAlignment="1">
      <alignment horizontal="center" vertical="center" wrapText="1"/>
    </xf>
    <xf numFmtId="164" fontId="3" fillId="0" borderId="0" xfId="1" applyFont="1" applyBorder="1" applyAlignment="1">
      <alignment horizontal="center" vertical="center" wrapText="1"/>
    </xf>
    <xf numFmtId="164" fontId="4" fillId="0" borderId="0" xfId="1" applyFont="1" applyBorder="1" applyAlignment="1">
      <alignment horizontal="center" vertical="center" wrapText="1"/>
    </xf>
    <xf numFmtId="164" fontId="33" fillId="0" borderId="0" xfId="1" applyFont="1" applyBorder="1"/>
    <xf numFmtId="164" fontId="4" fillId="0" borderId="0" xfId="1" applyFont="1" applyAlignment="1">
      <alignment horizontal="center" vertical="center" wrapText="1"/>
    </xf>
    <xf numFmtId="164" fontId="3" fillId="0" borderId="3" xfId="1" applyFont="1" applyBorder="1" applyAlignment="1">
      <alignment horizontal="center" vertical="center" wrapText="1"/>
    </xf>
    <xf numFmtId="164" fontId="33" fillId="0" borderId="3" xfId="1" applyFont="1" applyBorder="1"/>
    <xf numFmtId="164" fontId="44" fillId="0" borderId="0" xfId="0" applyNumberFormat="1" applyFont="1" applyAlignment="1">
      <alignment horizontal="center"/>
    </xf>
    <xf numFmtId="0" fontId="37"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 vertical="center" wrapText="1"/>
    </xf>
    <xf numFmtId="0" fontId="39" fillId="0" borderId="0" xfId="0" applyFont="1" applyAlignment="1">
      <alignment horizontal="left" vertical="center" wrapText="1"/>
    </xf>
    <xf numFmtId="0" fontId="16" fillId="3" borderId="0" xfId="0" applyFont="1" applyFill="1" applyAlignment="1">
      <alignment horizontal="left"/>
    </xf>
    <xf numFmtId="0" fontId="16"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horizontal="right"/>
    </xf>
    <xf numFmtId="0" fontId="16" fillId="3" borderId="0" xfId="0" applyFont="1" applyFill="1" applyAlignment="1">
      <alignment horizontal="right" wrapText="1"/>
    </xf>
    <xf numFmtId="0" fontId="35" fillId="3" borderId="0" xfId="4" applyFont="1" applyFill="1" applyAlignment="1">
      <alignment horizontal="left" vertical="center" wrapText="1"/>
    </xf>
    <xf numFmtId="0" fontId="15" fillId="3" borderId="0" xfId="0" applyFont="1" applyFill="1" applyAlignment="1">
      <alignment horizontal="left"/>
    </xf>
    <xf numFmtId="0" fontId="15" fillId="3" borderId="0" xfId="0" applyFont="1" applyFill="1" applyAlignment="1">
      <alignment horizontal="right"/>
    </xf>
    <xf numFmtId="0" fontId="19" fillId="0" borderId="0" xfId="0" applyFont="1" applyAlignment="1">
      <alignment horizontal="left" wrapText="1"/>
    </xf>
    <xf numFmtId="0" fontId="19" fillId="0" borderId="0" xfId="0" applyFont="1" applyAlignment="1">
      <alignment horizontal="left" vertical="top" wrapText="1"/>
    </xf>
    <xf numFmtId="0" fontId="16" fillId="3" borderId="0" xfId="0" applyFont="1" applyFill="1" applyAlignment="1">
      <alignment horizontal="left" wrapText="1"/>
    </xf>
    <xf numFmtId="0" fontId="19" fillId="3" borderId="0" xfId="0" applyFont="1" applyFill="1" applyAlignment="1">
      <alignment horizontal="left" vertical="top" wrapText="1"/>
    </xf>
    <xf numFmtId="0" fontId="16" fillId="0" borderId="0" xfId="0" applyFont="1" applyAlignment="1">
      <alignment horizontal="left" wrapText="1"/>
    </xf>
    <xf numFmtId="0" fontId="15" fillId="0" borderId="0" xfId="0" applyFont="1" applyAlignment="1">
      <alignment horizontal="right"/>
    </xf>
    <xf numFmtId="0" fontId="19" fillId="3" borderId="0" xfId="0" applyFont="1" applyFill="1" applyAlignment="1">
      <alignment horizontal="left" wrapText="1"/>
    </xf>
    <xf numFmtId="0" fontId="19" fillId="3" borderId="0" xfId="0" applyFont="1" applyFill="1" applyAlignment="1">
      <alignment horizontal="left"/>
    </xf>
    <xf numFmtId="0" fontId="19" fillId="0" borderId="0" xfId="0" applyFont="1" applyAlignment="1">
      <alignment horizontal="left" vertical="center" wrapText="1"/>
    </xf>
    <xf numFmtId="0" fontId="15" fillId="0" borderId="0" xfId="0" applyFont="1" applyAlignment="1">
      <alignment horizontal="center"/>
    </xf>
    <xf numFmtId="0" fontId="15" fillId="3" borderId="0" xfId="0" applyFont="1" applyFill="1" applyAlignment="1">
      <alignment horizontal="center"/>
    </xf>
    <xf numFmtId="0" fontId="19" fillId="0" borderId="0" xfId="0" applyFont="1" applyAlignment="1">
      <alignment horizontal="left"/>
    </xf>
    <xf numFmtId="0" fontId="15" fillId="3" borderId="0" xfId="0" applyFont="1" applyFill="1" applyAlignment="1">
      <alignment horizontal="left" vertical="center" wrapText="1"/>
    </xf>
    <xf numFmtId="0" fontId="45" fillId="0" borderId="0" xfId="0" applyFont="1" applyAlignment="1">
      <alignment horizontal="center" vertical="center"/>
    </xf>
    <xf numFmtId="0" fontId="46"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wrapText="1"/>
    </xf>
    <xf numFmtId="0" fontId="16" fillId="3" borderId="0" xfId="0" applyFont="1" applyFill="1" applyAlignment="1">
      <alignment horizontal="left" vertical="center" wrapText="1"/>
    </xf>
    <xf numFmtId="14" fontId="25" fillId="3" borderId="9" xfId="0" applyNumberFormat="1" applyFont="1" applyFill="1" applyBorder="1" applyAlignment="1" applyProtection="1">
      <alignment horizontal="center" vertical="center" wrapText="1"/>
      <protection locked="0"/>
    </xf>
    <xf numFmtId="14" fontId="25" fillId="3" borderId="4" xfId="0" applyNumberFormat="1" applyFont="1" applyFill="1" applyBorder="1" applyAlignment="1" applyProtection="1">
      <alignment horizontal="center" vertical="center" wrapText="1"/>
      <protection locked="0"/>
    </xf>
    <xf numFmtId="14" fontId="25" fillId="3" borderId="10" xfId="0" applyNumberFormat="1" applyFont="1" applyFill="1" applyBorder="1" applyAlignment="1" applyProtection="1">
      <alignment horizontal="center" vertical="center" wrapText="1"/>
      <protection locked="0"/>
    </xf>
    <xf numFmtId="0" fontId="0" fillId="0" borderId="0" xfId="0" applyAlignment="1">
      <alignment horizontal="left"/>
    </xf>
    <xf numFmtId="0" fontId="47" fillId="0" borderId="0" xfId="0" applyFont="1" applyAlignment="1">
      <alignment horizontal="left" vertical="center" wrapText="1"/>
    </xf>
    <xf numFmtId="0" fontId="47" fillId="0" borderId="0" xfId="0" applyFont="1" applyAlignment="1">
      <alignment horizontal="left" wrapText="1"/>
    </xf>
    <xf numFmtId="0" fontId="1" fillId="0" borderId="0" xfId="0" applyFont="1" applyAlignment="1">
      <alignment horizontal="left"/>
    </xf>
    <xf numFmtId="164" fontId="32" fillId="0" borderId="0" xfId="1" applyFont="1" applyBorder="1" applyAlignment="1">
      <alignment horizontal="center"/>
    </xf>
    <xf numFmtId="0" fontId="18" fillId="0" borderId="0" xfId="0" applyFont="1" applyAlignment="1">
      <alignment horizontal="center" vertical="center"/>
    </xf>
    <xf numFmtId="0" fontId="4" fillId="0" borderId="0" xfId="0" applyFont="1" applyAlignment="1">
      <alignment horizontal="center" vertical="center"/>
    </xf>
    <xf numFmtId="164" fontId="32" fillId="0" borderId="0" xfId="1" applyFont="1" applyBorder="1" applyAlignment="1">
      <alignment horizontal="center" vertical="top" wrapText="1"/>
    </xf>
    <xf numFmtId="0" fontId="27"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xf>
    <xf numFmtId="0" fontId="6"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wrapText="1"/>
    </xf>
  </cellXfs>
  <cellStyles count="5">
    <cellStyle name="Millares" xfId="1" builtinId="3"/>
    <cellStyle name="Millares 11 2" xfId="3" xr:uid="{00000000-0005-0000-0000-000001000000}"/>
    <cellStyle name="Normal" xfId="0" builtinId="0"/>
    <cellStyle name="Normal 2" xfId="4" xr:uid="{40663B95-5F2F-4F24-A68C-F538298CFE8C}"/>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2410408</xdr:colOff>
      <xdr:row>0</xdr:row>
      <xdr:rowOff>38876</xdr:rowOff>
    </xdr:from>
    <xdr:to>
      <xdr:col>1</xdr:col>
      <xdr:colOff>836245</xdr:colOff>
      <xdr:row>4</xdr:row>
      <xdr:rowOff>9718</xdr:rowOff>
    </xdr:to>
    <xdr:pic>
      <xdr:nvPicPr>
        <xdr:cNvPr id="2" name="Imagen 1">
          <a:extLst>
            <a:ext uri="{FF2B5EF4-FFF2-40B4-BE49-F238E27FC236}">
              <a16:creationId xmlns:a16="http://schemas.microsoft.com/office/drawing/2014/main" id="{682E6E80-983C-9E7E-4A40-89BA9E86AB12}"/>
            </a:ext>
          </a:extLst>
        </xdr:cNvPr>
        <xdr:cNvPicPr>
          <a:picLocks noChangeAspect="1"/>
        </xdr:cNvPicPr>
      </xdr:nvPicPr>
      <xdr:blipFill>
        <a:blip xmlns:r="http://schemas.openxmlformats.org/officeDocument/2006/relationships" r:embed="rId1"/>
        <a:stretch>
          <a:fillRect/>
        </a:stretch>
      </xdr:blipFill>
      <xdr:spPr>
        <a:xfrm>
          <a:off x="2410408" y="38876"/>
          <a:ext cx="1516602" cy="865026"/>
        </a:xfrm>
        <a:prstGeom prst="rect">
          <a:avLst/>
        </a:prstGeom>
      </xdr:spPr>
    </xdr:pic>
    <xdr:clientData/>
  </xdr:twoCellAnchor>
  <xdr:twoCellAnchor editAs="oneCell">
    <xdr:from>
      <xdr:col>0</xdr:col>
      <xdr:colOff>1292678</xdr:colOff>
      <xdr:row>43</xdr:row>
      <xdr:rowOff>106913</xdr:rowOff>
    </xdr:from>
    <xdr:to>
      <xdr:col>2</xdr:col>
      <xdr:colOff>97193</xdr:colOff>
      <xdr:row>53</xdr:row>
      <xdr:rowOff>177360</xdr:rowOff>
    </xdr:to>
    <xdr:pic>
      <xdr:nvPicPr>
        <xdr:cNvPr id="3" name="Imagen 2">
          <a:extLst>
            <a:ext uri="{FF2B5EF4-FFF2-40B4-BE49-F238E27FC236}">
              <a16:creationId xmlns:a16="http://schemas.microsoft.com/office/drawing/2014/main" id="{A586F4EB-F4A8-419C-BDB8-8333C9545370}"/>
            </a:ext>
          </a:extLst>
        </xdr:cNvPr>
        <xdr:cNvPicPr>
          <a:picLocks noChangeAspect="1"/>
        </xdr:cNvPicPr>
      </xdr:nvPicPr>
      <xdr:blipFill>
        <a:blip xmlns:r="http://schemas.openxmlformats.org/officeDocument/2006/relationships" r:embed="rId2"/>
        <a:stretch>
          <a:fillRect/>
        </a:stretch>
      </xdr:blipFill>
      <xdr:spPr>
        <a:xfrm>
          <a:off x="1292678" y="9525000"/>
          <a:ext cx="3780842" cy="2315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1261241</xdr:colOff>
      <xdr:row>0</xdr:row>
      <xdr:rowOff>52551</xdr:rowOff>
    </xdr:from>
    <xdr:to>
      <xdr:col>2</xdr:col>
      <xdr:colOff>1398360</xdr:colOff>
      <xdr:row>4</xdr:row>
      <xdr:rowOff>155577</xdr:rowOff>
    </xdr:to>
    <xdr:pic>
      <xdr:nvPicPr>
        <xdr:cNvPr id="2" name="Imagen 1">
          <a:extLst>
            <a:ext uri="{FF2B5EF4-FFF2-40B4-BE49-F238E27FC236}">
              <a16:creationId xmlns:a16="http://schemas.microsoft.com/office/drawing/2014/main" id="{8C59732B-08EF-43DB-B5CD-A107F8CAD726}"/>
            </a:ext>
          </a:extLst>
        </xdr:cNvPr>
        <xdr:cNvPicPr>
          <a:picLocks noChangeAspect="1"/>
        </xdr:cNvPicPr>
      </xdr:nvPicPr>
      <xdr:blipFill>
        <a:blip xmlns:r="http://schemas.openxmlformats.org/officeDocument/2006/relationships" r:embed="rId1"/>
        <a:stretch>
          <a:fillRect/>
        </a:stretch>
      </xdr:blipFill>
      <xdr:spPr>
        <a:xfrm>
          <a:off x="2377965" y="52551"/>
          <a:ext cx="1516602" cy="865026"/>
        </a:xfrm>
        <a:prstGeom prst="rect">
          <a:avLst/>
        </a:prstGeom>
      </xdr:spPr>
    </xdr:pic>
    <xdr:clientData/>
  </xdr:twoCellAnchor>
  <xdr:twoCellAnchor editAs="oneCell">
    <xdr:from>
      <xdr:col>0</xdr:col>
      <xdr:colOff>729156</xdr:colOff>
      <xdr:row>235</xdr:row>
      <xdr:rowOff>164224</xdr:rowOff>
    </xdr:from>
    <xdr:to>
      <xdr:col>4</xdr:col>
      <xdr:colOff>91965</xdr:colOff>
      <xdr:row>248</xdr:row>
      <xdr:rowOff>12344</xdr:rowOff>
    </xdr:to>
    <xdr:pic>
      <xdr:nvPicPr>
        <xdr:cNvPr id="3" name="Imagen 2">
          <a:extLst>
            <a:ext uri="{FF2B5EF4-FFF2-40B4-BE49-F238E27FC236}">
              <a16:creationId xmlns:a16="http://schemas.microsoft.com/office/drawing/2014/main" id="{42CF62C4-3EC8-44FD-8774-770109A7784B}"/>
            </a:ext>
          </a:extLst>
        </xdr:cNvPr>
        <xdr:cNvPicPr>
          <a:picLocks noChangeAspect="1"/>
        </xdr:cNvPicPr>
      </xdr:nvPicPr>
      <xdr:blipFill>
        <a:blip xmlns:r="http://schemas.openxmlformats.org/officeDocument/2006/relationships" r:embed="rId2"/>
        <a:stretch>
          <a:fillRect/>
        </a:stretch>
      </xdr:blipFill>
      <xdr:spPr>
        <a:xfrm>
          <a:off x="729156" y="60040345"/>
          <a:ext cx="4775637" cy="2685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35941</xdr:colOff>
      <xdr:row>0</xdr:row>
      <xdr:rowOff>44930</xdr:rowOff>
    </xdr:from>
    <xdr:to>
      <xdr:col>1</xdr:col>
      <xdr:colOff>404361</xdr:colOff>
      <xdr:row>5</xdr:row>
      <xdr:rowOff>23964</xdr:rowOff>
    </xdr:to>
    <xdr:pic>
      <xdr:nvPicPr>
        <xdr:cNvPr id="2" name="Imagen 1">
          <a:extLst>
            <a:ext uri="{FF2B5EF4-FFF2-40B4-BE49-F238E27FC236}">
              <a16:creationId xmlns:a16="http://schemas.microsoft.com/office/drawing/2014/main" id="{7B1A7F9A-C1A7-4436-91EA-1509EF3DEF81}"/>
            </a:ext>
          </a:extLst>
        </xdr:cNvPr>
        <xdr:cNvPicPr>
          <a:picLocks noChangeAspect="1"/>
        </xdr:cNvPicPr>
      </xdr:nvPicPr>
      <xdr:blipFill>
        <a:blip xmlns:r="http://schemas.openxmlformats.org/officeDocument/2006/relationships" r:embed="rId1"/>
        <a:stretch>
          <a:fillRect/>
        </a:stretch>
      </xdr:blipFill>
      <xdr:spPr>
        <a:xfrm>
          <a:off x="35941" y="44930"/>
          <a:ext cx="1617453" cy="9225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8283</xdr:colOff>
      <xdr:row>0</xdr:row>
      <xdr:rowOff>41413</xdr:rowOff>
    </xdr:from>
    <xdr:to>
      <xdr:col>0</xdr:col>
      <xdr:colOff>1524885</xdr:colOff>
      <xdr:row>4</xdr:row>
      <xdr:rowOff>136156</xdr:rowOff>
    </xdr:to>
    <xdr:pic>
      <xdr:nvPicPr>
        <xdr:cNvPr id="2" name="Imagen 1">
          <a:extLst>
            <a:ext uri="{FF2B5EF4-FFF2-40B4-BE49-F238E27FC236}">
              <a16:creationId xmlns:a16="http://schemas.microsoft.com/office/drawing/2014/main" id="{BA0BBDC4-457A-4C30-9943-36C4D6FDC508}"/>
            </a:ext>
          </a:extLst>
        </xdr:cNvPr>
        <xdr:cNvPicPr>
          <a:picLocks noChangeAspect="1"/>
        </xdr:cNvPicPr>
      </xdr:nvPicPr>
      <xdr:blipFill>
        <a:blip xmlns:r="http://schemas.openxmlformats.org/officeDocument/2006/relationships" r:embed="rId1"/>
        <a:stretch>
          <a:fillRect/>
        </a:stretch>
      </xdr:blipFill>
      <xdr:spPr>
        <a:xfrm>
          <a:off x="8283" y="41413"/>
          <a:ext cx="1516602" cy="8650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2820866</xdr:colOff>
      <xdr:row>0</xdr:row>
      <xdr:rowOff>95250</xdr:rowOff>
    </xdr:from>
    <xdr:to>
      <xdr:col>1</xdr:col>
      <xdr:colOff>725295</xdr:colOff>
      <xdr:row>4</xdr:row>
      <xdr:rowOff>168968</xdr:rowOff>
    </xdr:to>
    <xdr:pic>
      <xdr:nvPicPr>
        <xdr:cNvPr id="2" name="Imagen 1">
          <a:extLst>
            <a:ext uri="{FF2B5EF4-FFF2-40B4-BE49-F238E27FC236}">
              <a16:creationId xmlns:a16="http://schemas.microsoft.com/office/drawing/2014/main" id="{9DED95AB-46B7-4E2D-A8A7-4005088D78CE}"/>
            </a:ext>
          </a:extLst>
        </xdr:cNvPr>
        <xdr:cNvPicPr>
          <a:picLocks noChangeAspect="1"/>
        </xdr:cNvPicPr>
      </xdr:nvPicPr>
      <xdr:blipFill>
        <a:blip xmlns:r="http://schemas.openxmlformats.org/officeDocument/2006/relationships" r:embed="rId1"/>
        <a:stretch>
          <a:fillRect/>
        </a:stretch>
      </xdr:blipFill>
      <xdr:spPr>
        <a:xfrm>
          <a:off x="2820866" y="95250"/>
          <a:ext cx="1516602" cy="865026"/>
        </a:xfrm>
        <a:prstGeom prst="rect">
          <a:avLst/>
        </a:prstGeom>
      </xdr:spPr>
    </xdr:pic>
    <xdr:clientData/>
  </xdr:twoCellAnchor>
  <xdr:twoCellAnchor editAs="oneCell">
    <xdr:from>
      <xdr:col>0</xdr:col>
      <xdr:colOff>688730</xdr:colOff>
      <xdr:row>26</xdr:row>
      <xdr:rowOff>73270</xdr:rowOff>
    </xdr:from>
    <xdr:to>
      <xdr:col>2</xdr:col>
      <xdr:colOff>859985</xdr:colOff>
      <xdr:row>38</xdr:row>
      <xdr:rowOff>177252</xdr:rowOff>
    </xdr:to>
    <xdr:pic>
      <xdr:nvPicPr>
        <xdr:cNvPr id="3" name="Imagen 2">
          <a:extLst>
            <a:ext uri="{FF2B5EF4-FFF2-40B4-BE49-F238E27FC236}">
              <a16:creationId xmlns:a16="http://schemas.microsoft.com/office/drawing/2014/main" id="{BD103286-DF99-4D7E-89DF-3A1D9B599339}"/>
            </a:ext>
          </a:extLst>
        </xdr:cNvPr>
        <xdr:cNvPicPr>
          <a:picLocks noChangeAspect="1"/>
        </xdr:cNvPicPr>
      </xdr:nvPicPr>
      <xdr:blipFill>
        <a:blip xmlns:r="http://schemas.openxmlformats.org/officeDocument/2006/relationships" r:embed="rId2"/>
        <a:stretch>
          <a:fillRect/>
        </a:stretch>
      </xdr:blipFill>
      <xdr:spPr>
        <a:xfrm>
          <a:off x="688730" y="5018943"/>
          <a:ext cx="5776351" cy="26830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1152525</xdr:colOff>
      <xdr:row>0</xdr:row>
      <xdr:rowOff>19050</xdr:rowOff>
    </xdr:from>
    <xdr:to>
      <xdr:col>3</xdr:col>
      <xdr:colOff>119864</xdr:colOff>
      <xdr:row>5</xdr:row>
      <xdr:rowOff>0</xdr:rowOff>
    </xdr:to>
    <xdr:pic>
      <xdr:nvPicPr>
        <xdr:cNvPr id="2" name="Imagen 1">
          <a:extLst>
            <a:ext uri="{FF2B5EF4-FFF2-40B4-BE49-F238E27FC236}">
              <a16:creationId xmlns:a16="http://schemas.microsoft.com/office/drawing/2014/main" id="{14718C1F-5BE7-42C0-83AC-3513DA6B339F}"/>
            </a:ext>
          </a:extLst>
        </xdr:cNvPr>
        <xdr:cNvPicPr>
          <a:picLocks noChangeAspect="1"/>
        </xdr:cNvPicPr>
      </xdr:nvPicPr>
      <xdr:blipFill>
        <a:blip xmlns:r="http://schemas.openxmlformats.org/officeDocument/2006/relationships" r:embed="rId1"/>
        <a:stretch>
          <a:fillRect/>
        </a:stretch>
      </xdr:blipFill>
      <xdr:spPr>
        <a:xfrm>
          <a:off x="4048125" y="19050"/>
          <a:ext cx="1720064" cy="981075"/>
        </a:xfrm>
        <a:prstGeom prst="rect">
          <a:avLst/>
        </a:prstGeom>
      </xdr:spPr>
    </xdr:pic>
    <xdr:clientData/>
  </xdr:twoCellAnchor>
  <xdr:twoCellAnchor editAs="oneCell">
    <xdr:from>
      <xdr:col>0</xdr:col>
      <xdr:colOff>1752600</xdr:colOff>
      <xdr:row>31</xdr:row>
      <xdr:rowOff>104775</xdr:rowOff>
    </xdr:from>
    <xdr:to>
      <xdr:col>4</xdr:col>
      <xdr:colOff>1333500</xdr:colOff>
      <xdr:row>46</xdr:row>
      <xdr:rowOff>81269</xdr:rowOff>
    </xdr:to>
    <xdr:pic>
      <xdr:nvPicPr>
        <xdr:cNvPr id="3" name="Imagen 2">
          <a:extLst>
            <a:ext uri="{FF2B5EF4-FFF2-40B4-BE49-F238E27FC236}">
              <a16:creationId xmlns:a16="http://schemas.microsoft.com/office/drawing/2014/main" id="{3AD20242-29AF-4795-907D-414B79D08A1C}"/>
            </a:ext>
          </a:extLst>
        </xdr:cNvPr>
        <xdr:cNvPicPr>
          <a:picLocks noChangeAspect="1"/>
        </xdr:cNvPicPr>
      </xdr:nvPicPr>
      <xdr:blipFill>
        <a:blip xmlns:r="http://schemas.openxmlformats.org/officeDocument/2006/relationships" r:embed="rId2"/>
        <a:stretch>
          <a:fillRect/>
        </a:stretch>
      </xdr:blipFill>
      <xdr:spPr>
        <a:xfrm>
          <a:off x="1752600" y="6953250"/>
          <a:ext cx="6324600" cy="29768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2879481</xdr:colOff>
      <xdr:row>0</xdr:row>
      <xdr:rowOff>146539</xdr:rowOff>
    </xdr:from>
    <xdr:to>
      <xdr:col>1</xdr:col>
      <xdr:colOff>717968</xdr:colOff>
      <xdr:row>5</xdr:row>
      <xdr:rowOff>22430</xdr:rowOff>
    </xdr:to>
    <xdr:pic>
      <xdr:nvPicPr>
        <xdr:cNvPr id="2" name="Imagen 1">
          <a:extLst>
            <a:ext uri="{FF2B5EF4-FFF2-40B4-BE49-F238E27FC236}">
              <a16:creationId xmlns:a16="http://schemas.microsoft.com/office/drawing/2014/main" id="{26E2ED00-FC17-459F-90D1-CE5BF73C7808}"/>
            </a:ext>
          </a:extLst>
        </xdr:cNvPr>
        <xdr:cNvPicPr>
          <a:picLocks noChangeAspect="1"/>
        </xdr:cNvPicPr>
      </xdr:nvPicPr>
      <xdr:blipFill>
        <a:blip xmlns:r="http://schemas.openxmlformats.org/officeDocument/2006/relationships" r:embed="rId1"/>
        <a:stretch>
          <a:fillRect/>
        </a:stretch>
      </xdr:blipFill>
      <xdr:spPr>
        <a:xfrm>
          <a:off x="2879481" y="146539"/>
          <a:ext cx="1516602" cy="865026"/>
        </a:xfrm>
        <a:prstGeom prst="rect">
          <a:avLst/>
        </a:prstGeom>
      </xdr:spPr>
    </xdr:pic>
    <xdr:clientData/>
  </xdr:twoCellAnchor>
  <xdr:twoCellAnchor editAs="oneCell">
    <xdr:from>
      <xdr:col>0</xdr:col>
      <xdr:colOff>732692</xdr:colOff>
      <xdr:row>30</xdr:row>
      <xdr:rowOff>106539</xdr:rowOff>
    </xdr:from>
    <xdr:to>
      <xdr:col>3</xdr:col>
      <xdr:colOff>402981</xdr:colOff>
      <xdr:row>42</xdr:row>
      <xdr:rowOff>135801</xdr:rowOff>
    </xdr:to>
    <xdr:pic>
      <xdr:nvPicPr>
        <xdr:cNvPr id="3" name="Imagen 2">
          <a:extLst>
            <a:ext uri="{FF2B5EF4-FFF2-40B4-BE49-F238E27FC236}">
              <a16:creationId xmlns:a16="http://schemas.microsoft.com/office/drawing/2014/main" id="{47750C1B-D53F-446A-8363-AD49B4B71132}"/>
            </a:ext>
          </a:extLst>
        </xdr:cNvPr>
        <xdr:cNvPicPr>
          <a:picLocks noChangeAspect="1"/>
        </xdr:cNvPicPr>
      </xdr:nvPicPr>
      <xdr:blipFill>
        <a:blip xmlns:r="http://schemas.openxmlformats.org/officeDocument/2006/relationships" r:embed="rId2"/>
        <a:stretch>
          <a:fillRect/>
        </a:stretch>
      </xdr:blipFill>
      <xdr:spPr>
        <a:xfrm>
          <a:off x="732692" y="6876616"/>
          <a:ext cx="5480539" cy="26083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912812</xdr:colOff>
      <xdr:row>0</xdr:row>
      <xdr:rowOff>230187</xdr:rowOff>
    </xdr:from>
    <xdr:to>
      <xdr:col>3</xdr:col>
      <xdr:colOff>802227</xdr:colOff>
      <xdr:row>4</xdr:row>
      <xdr:rowOff>142713</xdr:rowOff>
    </xdr:to>
    <xdr:pic>
      <xdr:nvPicPr>
        <xdr:cNvPr id="2" name="Imagen 1">
          <a:extLst>
            <a:ext uri="{FF2B5EF4-FFF2-40B4-BE49-F238E27FC236}">
              <a16:creationId xmlns:a16="http://schemas.microsoft.com/office/drawing/2014/main" id="{125CAD85-F948-4B4C-B540-EFE9C54BE11A}"/>
            </a:ext>
          </a:extLst>
        </xdr:cNvPr>
        <xdr:cNvPicPr>
          <a:picLocks noChangeAspect="1"/>
        </xdr:cNvPicPr>
      </xdr:nvPicPr>
      <xdr:blipFill>
        <a:blip xmlns:r="http://schemas.openxmlformats.org/officeDocument/2006/relationships" r:embed="rId1"/>
        <a:stretch>
          <a:fillRect/>
        </a:stretch>
      </xdr:blipFill>
      <xdr:spPr>
        <a:xfrm>
          <a:off x="4175125" y="230187"/>
          <a:ext cx="1516602" cy="865026"/>
        </a:xfrm>
        <a:prstGeom prst="rect">
          <a:avLst/>
        </a:prstGeom>
      </xdr:spPr>
    </xdr:pic>
    <xdr:clientData/>
  </xdr:twoCellAnchor>
  <xdr:twoCellAnchor editAs="oneCell">
    <xdr:from>
      <xdr:col>1</xdr:col>
      <xdr:colOff>1317626</xdr:colOff>
      <xdr:row>24</xdr:row>
      <xdr:rowOff>63501</xdr:rowOff>
    </xdr:from>
    <xdr:to>
      <xdr:col>4</xdr:col>
      <xdr:colOff>1214439</xdr:colOff>
      <xdr:row>36</xdr:row>
      <xdr:rowOff>13659</xdr:rowOff>
    </xdr:to>
    <xdr:pic>
      <xdr:nvPicPr>
        <xdr:cNvPr id="3" name="Imagen 2">
          <a:extLst>
            <a:ext uri="{FF2B5EF4-FFF2-40B4-BE49-F238E27FC236}">
              <a16:creationId xmlns:a16="http://schemas.microsoft.com/office/drawing/2014/main" id="{66B01C9D-FA95-42A1-A73B-7BD4EB8F0054}"/>
            </a:ext>
          </a:extLst>
        </xdr:cNvPr>
        <xdr:cNvPicPr>
          <a:picLocks noChangeAspect="1"/>
        </xdr:cNvPicPr>
      </xdr:nvPicPr>
      <xdr:blipFill>
        <a:blip xmlns:r="http://schemas.openxmlformats.org/officeDocument/2006/relationships" r:embed="rId2"/>
        <a:stretch>
          <a:fillRect/>
        </a:stretch>
      </xdr:blipFill>
      <xdr:spPr>
        <a:xfrm>
          <a:off x="1619251" y="6254751"/>
          <a:ext cx="6207126" cy="28076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ichelina Luna Solano" id="{ABD65FBF-F507-4FFD-AA67-9CF15CE694A2}" userId="S::michelina.luna@inaipi.gob.do::a0fa0bab-1d86-426c-8687-c43c1d4945a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8" dT="2023-07-14T16:34:59.79" personId="{ABD65FBF-F507-4FFD-AA67-9CF15CE694A2}" id="{140121EE-6B6D-4255-B33F-39DD66C7180C}">
    <text>Adiciones de las compras en el periodo</text>
  </threadedComment>
</ThreadedComments>
</file>

<file path=xl/threadedComments/threadedComment2.xml><?xml version="1.0" encoding="utf-8"?>
<ThreadedComments xmlns="http://schemas.microsoft.com/office/spreadsheetml/2018/threadedcomments" xmlns:x="http://schemas.openxmlformats.org/spreadsheetml/2006/main">
  <threadedComment ref="B27" dT="2023-07-20T19:03:27.98" personId="{ABD65FBF-F507-4FFD-AA67-9CF15CE694A2}" id="{F402B184-4C07-4FFC-BF71-84935084D863}">
    <text>Igual a la nota 7</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F54"/>
  <sheetViews>
    <sheetView tabSelected="1" zoomScale="93" zoomScaleNormal="93" zoomScaleSheetLayoutView="93" workbookViewId="0">
      <selection activeCell="A6" sqref="A6:C6"/>
    </sheetView>
  </sheetViews>
  <sheetFormatPr baseColWidth="10" defaultColWidth="11.42578125" defaultRowHeight="17.25" x14ac:dyDescent="0.3"/>
  <cols>
    <col min="1" max="1" width="46.28515625" style="244" customWidth="1"/>
    <col min="2" max="2" width="28.28515625" style="227" customWidth="1"/>
    <col min="3" max="3" width="25" style="226" customWidth="1"/>
    <col min="4" max="4" width="11.42578125" style="226" hidden="1" customWidth="1"/>
    <col min="5" max="5" width="19.28515625" style="226" hidden="1" customWidth="1"/>
    <col min="6" max="6" width="23.28515625" style="226" customWidth="1"/>
    <col min="7" max="16384" width="11.42578125" style="226"/>
  </cols>
  <sheetData>
    <row r="5" spans="1:5" x14ac:dyDescent="0.3">
      <c r="A5" s="284" t="s">
        <v>78</v>
      </c>
      <c r="B5" s="284"/>
      <c r="C5" s="284"/>
    </row>
    <row r="6" spans="1:5" x14ac:dyDescent="0.3">
      <c r="A6" s="285" t="s">
        <v>10</v>
      </c>
      <c r="B6" s="285"/>
      <c r="C6" s="285"/>
    </row>
    <row r="7" spans="1:5" x14ac:dyDescent="0.3">
      <c r="A7" s="284" t="s">
        <v>199</v>
      </c>
      <c r="B7" s="284"/>
      <c r="C7" s="284"/>
      <c r="D7" s="226" t="s">
        <v>164</v>
      </c>
      <c r="E7" s="227">
        <f>+B23</f>
        <v>3587834376.9212532</v>
      </c>
    </row>
    <row r="8" spans="1:5" x14ac:dyDescent="0.3">
      <c r="A8" s="285" t="s">
        <v>11</v>
      </c>
      <c r="B8" s="285"/>
      <c r="C8" s="285"/>
      <c r="D8" s="226" t="s">
        <v>165</v>
      </c>
      <c r="E8" s="227">
        <f>+B35</f>
        <v>213001298.64999998</v>
      </c>
    </row>
    <row r="9" spans="1:5" ht="12.75" customHeight="1" x14ac:dyDescent="0.3">
      <c r="A9" s="246"/>
      <c r="B9" s="247"/>
      <c r="C9" s="248"/>
      <c r="E9" s="228">
        <f>+E7-E8</f>
        <v>3374833078.2712531</v>
      </c>
    </row>
    <row r="10" spans="1:5" x14ac:dyDescent="0.3">
      <c r="A10" s="270" t="s">
        <v>0</v>
      </c>
      <c r="B10" s="230" t="s">
        <v>347</v>
      </c>
      <c r="C10" s="231">
        <v>2023</v>
      </c>
      <c r="D10" s="226" t="s">
        <v>167</v>
      </c>
      <c r="E10" s="232">
        <f>+B39</f>
        <v>-418851397.48999977</v>
      </c>
    </row>
    <row r="11" spans="1:5" x14ac:dyDescent="0.3">
      <c r="A11" s="229" t="s">
        <v>1</v>
      </c>
      <c r="B11" s="249"/>
      <c r="C11" s="250"/>
      <c r="D11" s="226" t="s">
        <v>166</v>
      </c>
      <c r="E11" s="228">
        <f>+E9-E10</f>
        <v>3793684475.7612529</v>
      </c>
    </row>
    <row r="12" spans="1:5" x14ac:dyDescent="0.3">
      <c r="A12" s="233" t="s">
        <v>12</v>
      </c>
      <c r="B12" s="234">
        <f>+'NOTAS 7 AL 23 '!D63</f>
        <v>2011738097.8100002</v>
      </c>
      <c r="C12" s="250">
        <v>999181168</v>
      </c>
    </row>
    <row r="13" spans="1:5" x14ac:dyDescent="0.3">
      <c r="A13" s="233" t="s">
        <v>102</v>
      </c>
      <c r="B13" s="234">
        <f>+'NOTAS 7 AL 23 '!D74</f>
        <v>337018911.63999999</v>
      </c>
      <c r="C13" s="250">
        <v>313562624.11000001</v>
      </c>
    </row>
    <row r="14" spans="1:5" x14ac:dyDescent="0.3">
      <c r="A14" s="233" t="s">
        <v>103</v>
      </c>
      <c r="B14" s="234">
        <f>+'NOTAS 7 AL 23 '!D82</f>
        <v>692247960.78021598</v>
      </c>
      <c r="C14" s="250">
        <v>357767460.73000002</v>
      </c>
    </row>
    <row r="15" spans="1:5" x14ac:dyDescent="0.3">
      <c r="A15" s="233" t="s">
        <v>104</v>
      </c>
      <c r="B15" s="235">
        <f>'NOTAS 7 AL 23 '!D92</f>
        <v>11901176.667036988</v>
      </c>
      <c r="C15" s="251">
        <v>8589674.7300000004</v>
      </c>
    </row>
    <row r="16" spans="1:5" x14ac:dyDescent="0.3">
      <c r="A16" s="229" t="s">
        <v>2</v>
      </c>
      <c r="B16" s="236">
        <f>SUM(B12:B15)</f>
        <v>3052906146.897253</v>
      </c>
      <c r="C16" s="236">
        <f>SUM(C12:C15)</f>
        <v>1679100927.5700002</v>
      </c>
    </row>
    <row r="17" spans="1:3" ht="8.25" customHeight="1" x14ac:dyDescent="0.3">
      <c r="A17" s="229"/>
      <c r="B17" s="237"/>
      <c r="C17" s="250"/>
    </row>
    <row r="18" spans="1:3" x14ac:dyDescent="0.3">
      <c r="A18" s="229" t="s">
        <v>3</v>
      </c>
      <c r="B18" s="238"/>
      <c r="C18" s="250"/>
    </row>
    <row r="19" spans="1:3" x14ac:dyDescent="0.3">
      <c r="A19" s="233" t="s">
        <v>142</v>
      </c>
      <c r="B19" s="234">
        <f>+'Detalle Nota 11 Prop. Plan y Eq'!I20</f>
        <v>525869201.89399999</v>
      </c>
      <c r="C19" s="250">
        <v>1975007537</v>
      </c>
    </row>
    <row r="20" spans="1:3" x14ac:dyDescent="0.3">
      <c r="A20" s="233" t="s">
        <v>143</v>
      </c>
      <c r="B20" s="234">
        <f>+'NOTAS 7 AL 23 '!D105</f>
        <v>4330045.17</v>
      </c>
      <c r="C20" s="250">
        <v>830274.17</v>
      </c>
    </row>
    <row r="21" spans="1:3" x14ac:dyDescent="0.3">
      <c r="A21" s="233" t="s">
        <v>155</v>
      </c>
      <c r="B21" s="235">
        <f>+'NOTAS 7 AL 23 '!D110</f>
        <v>4728982.96</v>
      </c>
      <c r="C21" s="251">
        <v>4045030.78</v>
      </c>
    </row>
    <row r="22" spans="1:3" x14ac:dyDescent="0.3">
      <c r="A22" s="229" t="s">
        <v>4</v>
      </c>
      <c r="B22" s="237">
        <f>SUM(B19:B21)</f>
        <v>534928230.02399999</v>
      </c>
      <c r="C22" s="236">
        <f>SUM(C19:C21)</f>
        <v>1979882841.95</v>
      </c>
    </row>
    <row r="23" spans="1:3" x14ac:dyDescent="0.3">
      <c r="A23" s="229" t="s">
        <v>5</v>
      </c>
      <c r="B23" s="239">
        <f>+B16+B22</f>
        <v>3587834376.9212532</v>
      </c>
      <c r="C23" s="239">
        <f>+C16+C22</f>
        <v>3658983769.5200005</v>
      </c>
    </row>
    <row r="24" spans="1:3" ht="12.75" customHeight="1" x14ac:dyDescent="0.3">
      <c r="A24" s="286" t="s">
        <v>50</v>
      </c>
      <c r="B24" s="249"/>
      <c r="C24" s="250"/>
    </row>
    <row r="25" spans="1:3" ht="12.75" customHeight="1" x14ac:dyDescent="0.3">
      <c r="A25" s="286"/>
      <c r="B25" s="240"/>
      <c r="C25" s="250"/>
    </row>
    <row r="26" spans="1:3" ht="12.75" customHeight="1" x14ac:dyDescent="0.3">
      <c r="A26" s="241" t="s">
        <v>382</v>
      </c>
      <c r="B26" s="240">
        <f>+'NOTAS 7 AL 23 '!D118</f>
        <v>485384.85</v>
      </c>
      <c r="C26" s="250">
        <v>0</v>
      </c>
    </row>
    <row r="27" spans="1:3" x14ac:dyDescent="0.3">
      <c r="A27" s="241" t="s">
        <v>378</v>
      </c>
      <c r="B27" s="234">
        <f>+'NOTAS 7 AL 23 '!D126</f>
        <v>208110675.38</v>
      </c>
      <c r="C27" s="250">
        <v>116596805</v>
      </c>
    </row>
    <row r="28" spans="1:3" ht="33" x14ac:dyDescent="0.3">
      <c r="A28" s="241" t="s">
        <v>379</v>
      </c>
      <c r="B28" s="235">
        <f>+'NOTAS 7 AL 23 '!D133</f>
        <v>764215.60000000009</v>
      </c>
      <c r="C28" s="251">
        <v>26905775.449999999</v>
      </c>
    </row>
    <row r="29" spans="1:3" x14ac:dyDescent="0.3">
      <c r="A29" s="229" t="s">
        <v>6</v>
      </c>
      <c r="B29" s="236">
        <f>SUM(B27:B28)</f>
        <v>208874890.97999999</v>
      </c>
      <c r="C29" s="236">
        <f>SUM(C27:C28)</f>
        <v>143502580.44999999</v>
      </c>
    </row>
    <row r="30" spans="1:3" ht="14.25" customHeight="1" x14ac:dyDescent="0.3">
      <c r="A30" s="287" t="s">
        <v>145</v>
      </c>
      <c r="B30" s="237"/>
      <c r="C30" s="250"/>
    </row>
    <row r="31" spans="1:3" ht="9.75" customHeight="1" x14ac:dyDescent="0.3">
      <c r="A31" s="287"/>
      <c r="B31" s="237"/>
      <c r="C31" s="250"/>
    </row>
    <row r="32" spans="1:3" x14ac:dyDescent="0.3">
      <c r="A32" s="241" t="s">
        <v>380</v>
      </c>
      <c r="B32" s="235">
        <f>+'NOTAS 7 AL 23 '!D140</f>
        <v>4126407.67</v>
      </c>
      <c r="C32" s="251">
        <v>15900997.109999999</v>
      </c>
    </row>
    <row r="33" spans="1:6" x14ac:dyDescent="0.3">
      <c r="A33" s="229" t="s">
        <v>146</v>
      </c>
      <c r="B33" s="239">
        <f>+B32</f>
        <v>4126407.67</v>
      </c>
      <c r="C33" s="239">
        <f>+C32</f>
        <v>15900997.109999999</v>
      </c>
    </row>
    <row r="34" spans="1:6" ht="10.5" customHeight="1" x14ac:dyDescent="0.3">
      <c r="A34" s="241"/>
      <c r="B34" s="237"/>
      <c r="C34" s="250"/>
    </row>
    <row r="35" spans="1:6" x14ac:dyDescent="0.3">
      <c r="A35" s="270" t="s">
        <v>7</v>
      </c>
      <c r="B35" s="239">
        <f>+B29+B33</f>
        <v>213001298.64999998</v>
      </c>
      <c r="C35" s="239">
        <f>+C29+C33</f>
        <v>159403577.56</v>
      </c>
    </row>
    <row r="36" spans="1:6" x14ac:dyDescent="0.3">
      <c r="A36" s="287" t="s">
        <v>381</v>
      </c>
      <c r="B36" s="249"/>
      <c r="C36" s="250"/>
    </row>
    <row r="37" spans="1:6" ht="3.75" customHeight="1" x14ac:dyDescent="0.3">
      <c r="A37" s="287"/>
      <c r="B37" s="249"/>
      <c r="C37" s="250"/>
    </row>
    <row r="38" spans="1:6" x14ac:dyDescent="0.3">
      <c r="A38" s="241" t="s">
        <v>8</v>
      </c>
      <c r="B38" s="247">
        <f>+'NOTAS 7 AL 23 '!D146</f>
        <v>3793684475.7612529</v>
      </c>
      <c r="C38" s="250">
        <v>2332954547</v>
      </c>
      <c r="F38" s="228"/>
    </row>
    <row r="39" spans="1:6" ht="33" x14ac:dyDescent="0.3">
      <c r="A39" s="241" t="s">
        <v>48</v>
      </c>
      <c r="B39" s="245">
        <f>+'NOTAS 7 AL 23 '!D147</f>
        <v>-418851397.48999977</v>
      </c>
      <c r="C39" s="250">
        <v>1166625645</v>
      </c>
    </row>
    <row r="40" spans="1:6" x14ac:dyDescent="0.3">
      <c r="A40" s="241" t="s">
        <v>47</v>
      </c>
      <c r="B40" s="234">
        <f>+'Cambio del Patrimonio'!E18</f>
        <v>0</v>
      </c>
      <c r="C40" s="250">
        <v>0</v>
      </c>
    </row>
    <row r="41" spans="1:6" x14ac:dyDescent="0.3">
      <c r="A41" s="241" t="s">
        <v>9</v>
      </c>
      <c r="B41" s="235">
        <v>0</v>
      </c>
      <c r="C41" s="251">
        <v>0</v>
      </c>
    </row>
    <row r="42" spans="1:6" s="242" customFormat="1" x14ac:dyDescent="0.3">
      <c r="A42" s="229" t="s">
        <v>49</v>
      </c>
      <c r="B42" s="237">
        <f>SUM(B38:B41)</f>
        <v>3374833078.2712531</v>
      </c>
      <c r="C42" s="237">
        <f>SUM(C38:C41)</f>
        <v>3499580192</v>
      </c>
    </row>
    <row r="43" spans="1:6" ht="30.75" customHeight="1" thickBot="1" x14ac:dyDescent="0.35">
      <c r="A43" s="229" t="s">
        <v>53</v>
      </c>
      <c r="B43" s="243">
        <f>SUM(B35+B42)</f>
        <v>3587834376.9212532</v>
      </c>
      <c r="C43" s="243">
        <f>SUM(C35+C42)</f>
        <v>3658983769.5599999</v>
      </c>
    </row>
    <row r="44" spans="1:6" ht="18" thickTop="1" x14ac:dyDescent="0.3">
      <c r="A44" s="252"/>
      <c r="B44" s="250"/>
      <c r="C44" s="248"/>
    </row>
    <row r="45" spans="1:6" x14ac:dyDescent="0.3">
      <c r="A45" s="252"/>
      <c r="B45" s="250"/>
      <c r="C45" s="248"/>
    </row>
    <row r="46" spans="1:6" x14ac:dyDescent="0.3">
      <c r="A46" s="252"/>
      <c r="B46" s="247"/>
      <c r="C46" s="248"/>
    </row>
    <row r="47" spans="1:6" x14ac:dyDescent="0.3">
      <c r="A47" s="252"/>
      <c r="B47" s="247"/>
      <c r="C47" s="248"/>
    </row>
    <row r="48" spans="1:6" x14ac:dyDescent="0.3">
      <c r="A48" s="252"/>
      <c r="B48" s="283"/>
      <c r="C48" s="283"/>
    </row>
    <row r="49" spans="1:3" x14ac:dyDescent="0.3">
      <c r="A49" s="252"/>
      <c r="B49" s="269"/>
      <c r="C49" s="248"/>
    </row>
    <row r="50" spans="1:3" x14ac:dyDescent="0.3">
      <c r="A50" s="252"/>
      <c r="B50" s="269"/>
      <c r="C50" s="248"/>
    </row>
    <row r="51" spans="1:3" x14ac:dyDescent="0.3">
      <c r="A51" s="252"/>
      <c r="B51" s="247"/>
      <c r="C51" s="248"/>
    </row>
    <row r="52" spans="1:3" x14ac:dyDescent="0.3">
      <c r="A52" s="252"/>
      <c r="B52" s="247"/>
      <c r="C52" s="248"/>
    </row>
    <row r="53" spans="1:3" x14ac:dyDescent="0.3">
      <c r="A53" s="252"/>
      <c r="B53" s="283"/>
      <c r="C53" s="283"/>
    </row>
    <row r="54" spans="1:3" x14ac:dyDescent="0.3">
      <c r="A54" s="252"/>
      <c r="B54" s="247"/>
      <c r="C54" s="248"/>
    </row>
  </sheetData>
  <mergeCells count="9">
    <mergeCell ref="B48:C48"/>
    <mergeCell ref="B53:C53"/>
    <mergeCell ref="A5:C5"/>
    <mergeCell ref="A6:C6"/>
    <mergeCell ref="A24:A25"/>
    <mergeCell ref="A30:A31"/>
    <mergeCell ref="A36:A37"/>
    <mergeCell ref="A7:C7"/>
    <mergeCell ref="A8:C8"/>
  </mergeCells>
  <pageMargins left="0.25" right="0.25" top="0.75" bottom="0.75" header="0.3" footer="0.3"/>
  <pageSetup paperSize="5" scale="9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F249"/>
  <sheetViews>
    <sheetView topLeftCell="A143" zoomScale="145" zoomScaleNormal="145" workbookViewId="0">
      <selection activeCell="D146" sqref="D146"/>
    </sheetView>
  </sheetViews>
  <sheetFormatPr baseColWidth="10" defaultRowHeight="15" x14ac:dyDescent="0.25"/>
  <cols>
    <col min="1" max="1" width="16.7109375" customWidth="1"/>
    <col min="2" max="2" width="20.7109375" customWidth="1"/>
    <col min="3" max="3" width="23.85546875" customWidth="1"/>
    <col min="4" max="4" width="19.85546875" style="59" customWidth="1"/>
    <col min="5" max="5" width="17.42578125" bestFit="1" customWidth="1"/>
    <col min="6" max="6" width="13.28515625" bestFit="1" customWidth="1"/>
  </cols>
  <sheetData>
    <row r="6" spans="1:5" x14ac:dyDescent="0.25">
      <c r="A6" s="309" t="s">
        <v>78</v>
      </c>
      <c r="B6" s="309"/>
      <c r="C6" s="309"/>
      <c r="D6" s="309"/>
      <c r="E6" s="309"/>
    </row>
    <row r="7" spans="1:5" x14ac:dyDescent="0.25">
      <c r="A7" s="310" t="s">
        <v>198</v>
      </c>
      <c r="B7" s="310"/>
      <c r="C7" s="310"/>
      <c r="D7" s="310"/>
      <c r="E7" s="310"/>
    </row>
    <row r="8" spans="1:5" x14ac:dyDescent="0.25">
      <c r="A8" s="309" t="s">
        <v>199</v>
      </c>
      <c r="B8" s="309"/>
      <c r="C8" s="309"/>
      <c r="D8" s="309"/>
      <c r="E8" s="309"/>
    </row>
    <row r="9" spans="1:5" x14ac:dyDescent="0.25">
      <c r="A9" s="310" t="s">
        <v>24</v>
      </c>
      <c r="B9" s="310"/>
      <c r="C9" s="310"/>
      <c r="D9" s="310"/>
      <c r="E9" s="310"/>
    </row>
    <row r="10" spans="1:5" ht="15.75" x14ac:dyDescent="0.25">
      <c r="A10" s="308" t="s">
        <v>312</v>
      </c>
      <c r="B10" s="308"/>
      <c r="C10" s="308"/>
      <c r="D10" s="308"/>
      <c r="E10" s="10"/>
    </row>
    <row r="11" spans="1:5" ht="35.25" customHeight="1" x14ac:dyDescent="0.25">
      <c r="A11" s="313" t="s">
        <v>313</v>
      </c>
      <c r="B11" s="313"/>
      <c r="C11" s="313"/>
      <c r="D11" s="313"/>
      <c r="E11" s="313"/>
    </row>
    <row r="12" spans="1:5" ht="58.5" customHeight="1" x14ac:dyDescent="0.25">
      <c r="A12" s="313" t="s">
        <v>314</v>
      </c>
      <c r="B12" s="313"/>
      <c r="C12" s="313"/>
      <c r="D12" s="313"/>
      <c r="E12" s="313"/>
    </row>
    <row r="13" spans="1:5" ht="68.25" customHeight="1" x14ac:dyDescent="0.25">
      <c r="A13" s="313" t="s">
        <v>315</v>
      </c>
      <c r="B13" s="313"/>
      <c r="C13" s="313"/>
      <c r="D13" s="313"/>
      <c r="E13" s="313"/>
    </row>
    <row r="14" spans="1:5" ht="54" customHeight="1" x14ac:dyDescent="0.25">
      <c r="A14" s="313" t="s">
        <v>316</v>
      </c>
      <c r="B14" s="313"/>
      <c r="C14" s="313"/>
      <c r="D14" s="313"/>
      <c r="E14" s="313"/>
    </row>
    <row r="15" spans="1:5" ht="60" customHeight="1" x14ac:dyDescent="0.25">
      <c r="A15" s="313" t="s">
        <v>317</v>
      </c>
      <c r="B15" s="313"/>
      <c r="C15" s="313"/>
      <c r="D15" s="313"/>
      <c r="E15" s="313"/>
    </row>
    <row r="16" spans="1:5" ht="71.25" customHeight="1" x14ac:dyDescent="0.25">
      <c r="A16" s="313" t="s">
        <v>318</v>
      </c>
      <c r="B16" s="313"/>
      <c r="C16" s="313"/>
      <c r="D16" s="313"/>
      <c r="E16" s="313"/>
    </row>
    <row r="17" spans="1:5" ht="50.25" customHeight="1" x14ac:dyDescent="0.25">
      <c r="A17" s="313" t="s">
        <v>319</v>
      </c>
      <c r="B17" s="313"/>
      <c r="C17" s="313"/>
      <c r="D17" s="313"/>
      <c r="E17" s="313"/>
    </row>
    <row r="18" spans="1:5" ht="15.75" customHeight="1" x14ac:dyDescent="0.25">
      <c r="A18" s="313" t="s">
        <v>320</v>
      </c>
      <c r="B18" s="313"/>
      <c r="C18" s="313"/>
      <c r="D18" s="313"/>
      <c r="E18" s="313"/>
    </row>
    <row r="19" spans="1:5" ht="24.75" customHeight="1" x14ac:dyDescent="0.25">
      <c r="A19" s="313" t="s">
        <v>321</v>
      </c>
      <c r="B19" s="313"/>
      <c r="C19" s="313"/>
      <c r="D19" s="313"/>
      <c r="E19" s="313"/>
    </row>
    <row r="20" spans="1:5" ht="39" customHeight="1" x14ac:dyDescent="0.25">
      <c r="A20" s="289" t="s">
        <v>322</v>
      </c>
      <c r="B20" s="289"/>
      <c r="C20" s="289"/>
      <c r="D20" s="289"/>
      <c r="E20" s="10"/>
    </row>
    <row r="21" spans="1:5" ht="21" customHeight="1" x14ac:dyDescent="0.25">
      <c r="A21" s="289" t="s">
        <v>346</v>
      </c>
      <c r="B21" s="289"/>
      <c r="C21" s="289"/>
      <c r="D21" s="289"/>
      <c r="E21" s="10"/>
    </row>
    <row r="22" spans="1:5" ht="31.5" customHeight="1" x14ac:dyDescent="0.25">
      <c r="A22" s="289" t="s">
        <v>323</v>
      </c>
      <c r="B22" s="289"/>
      <c r="C22" s="289"/>
      <c r="D22" s="289"/>
      <c r="E22" s="10"/>
    </row>
    <row r="23" spans="1:5" ht="15.75" x14ac:dyDescent="0.25">
      <c r="A23" s="197"/>
      <c r="B23" s="198"/>
      <c r="C23" s="198"/>
      <c r="D23" s="198"/>
      <c r="E23" s="10"/>
    </row>
    <row r="24" spans="1:5" ht="15.75" x14ac:dyDescent="0.25">
      <c r="A24" s="290" t="s">
        <v>324</v>
      </c>
      <c r="B24" s="290"/>
      <c r="C24" s="290"/>
      <c r="D24" s="290"/>
      <c r="E24" s="10"/>
    </row>
    <row r="25" spans="1:5" ht="47.25" customHeight="1" x14ac:dyDescent="0.25">
      <c r="A25" s="313" t="s">
        <v>325</v>
      </c>
      <c r="B25" s="313"/>
      <c r="C25" s="313"/>
      <c r="D25" s="313"/>
      <c r="E25" s="313"/>
    </row>
    <row r="26" spans="1:5" ht="45" customHeight="1" x14ac:dyDescent="0.25">
      <c r="A26" s="313" t="s">
        <v>326</v>
      </c>
      <c r="B26" s="313"/>
      <c r="C26" s="313"/>
      <c r="D26" s="313"/>
      <c r="E26" s="313"/>
    </row>
    <row r="27" spans="1:5" ht="15.75" x14ac:dyDescent="0.25">
      <c r="A27" s="197"/>
      <c r="B27" s="197"/>
      <c r="C27" s="197"/>
      <c r="D27" s="197"/>
      <c r="E27" s="10"/>
    </row>
    <row r="28" spans="1:5" ht="15.75" x14ac:dyDescent="0.25">
      <c r="A28" s="290" t="s">
        <v>327</v>
      </c>
      <c r="B28" s="290"/>
      <c r="C28" s="290"/>
      <c r="D28" s="290"/>
      <c r="E28" s="10"/>
    </row>
    <row r="29" spans="1:5" x14ac:dyDescent="0.25">
      <c r="A29" s="313" t="s">
        <v>328</v>
      </c>
      <c r="B29" s="313"/>
      <c r="C29" s="313"/>
      <c r="D29" s="313"/>
      <c r="E29" s="313"/>
    </row>
    <row r="30" spans="1:5" ht="15.75" x14ac:dyDescent="0.25">
      <c r="A30" s="290" t="s">
        <v>329</v>
      </c>
      <c r="B30" s="290"/>
      <c r="C30" s="290"/>
      <c r="D30" s="290"/>
      <c r="E30" s="10"/>
    </row>
    <row r="31" spans="1:5" ht="46.5" customHeight="1" x14ac:dyDescent="0.25">
      <c r="A31" s="313" t="s">
        <v>330</v>
      </c>
      <c r="B31" s="313"/>
      <c r="C31" s="313"/>
      <c r="D31" s="313"/>
      <c r="E31" s="313"/>
    </row>
    <row r="32" spans="1:5" ht="15.75" x14ac:dyDescent="0.25">
      <c r="A32" s="290" t="s">
        <v>331</v>
      </c>
      <c r="B32" s="290"/>
      <c r="C32" s="290"/>
      <c r="D32" s="290"/>
      <c r="E32" s="10"/>
    </row>
    <row r="33" spans="1:5" ht="49.5" customHeight="1" x14ac:dyDescent="0.25">
      <c r="A33" s="313" t="s">
        <v>332</v>
      </c>
      <c r="B33" s="313"/>
      <c r="C33" s="313"/>
      <c r="D33" s="313"/>
      <c r="E33" s="313"/>
    </row>
    <row r="34" spans="1:5" ht="15.75" x14ac:dyDescent="0.25">
      <c r="A34" s="290" t="s">
        <v>333</v>
      </c>
      <c r="B34" s="290"/>
      <c r="C34" s="290"/>
      <c r="D34" s="290"/>
      <c r="E34" s="10"/>
    </row>
    <row r="35" spans="1:5" ht="36" customHeight="1" x14ac:dyDescent="0.25">
      <c r="A35" s="313" t="s">
        <v>334</v>
      </c>
      <c r="B35" s="313"/>
      <c r="C35" s="313"/>
      <c r="D35" s="313"/>
      <c r="E35" s="313"/>
    </row>
    <row r="36" spans="1:5" ht="15.75" x14ac:dyDescent="0.25">
      <c r="A36" s="289" t="s">
        <v>335</v>
      </c>
      <c r="B36" s="289"/>
      <c r="C36" s="289"/>
      <c r="D36" s="289"/>
      <c r="E36" s="10"/>
    </row>
    <row r="37" spans="1:5" ht="15.75" x14ac:dyDescent="0.25">
      <c r="A37" s="289" t="s">
        <v>336</v>
      </c>
      <c r="B37" s="289"/>
      <c r="C37" s="289"/>
      <c r="D37" s="289"/>
      <c r="E37" s="10"/>
    </row>
    <row r="38" spans="1:5" ht="15.75" x14ac:dyDescent="0.25">
      <c r="A38" s="289" t="s">
        <v>337</v>
      </c>
      <c r="B38" s="289"/>
      <c r="C38" s="289"/>
      <c r="D38" s="289"/>
      <c r="E38" s="10"/>
    </row>
    <row r="39" spans="1:5" ht="15.75" x14ac:dyDescent="0.25">
      <c r="A39" s="289" t="s">
        <v>338</v>
      </c>
      <c r="B39" s="289"/>
      <c r="C39" s="289"/>
      <c r="D39" s="289"/>
      <c r="E39" s="10"/>
    </row>
    <row r="40" spans="1:5" ht="15.75" x14ac:dyDescent="0.25">
      <c r="A40" s="289" t="s">
        <v>339</v>
      </c>
      <c r="B40" s="289"/>
      <c r="C40" s="289"/>
      <c r="D40" s="289"/>
      <c r="E40" s="10"/>
    </row>
    <row r="41" spans="1:5" ht="15.75" x14ac:dyDescent="0.25">
      <c r="A41" s="289" t="s">
        <v>340</v>
      </c>
      <c r="B41" s="289"/>
      <c r="C41" s="289"/>
      <c r="D41" s="289"/>
      <c r="E41" s="10"/>
    </row>
    <row r="42" spans="1:5" ht="15.75" x14ac:dyDescent="0.25">
      <c r="A42" s="289" t="s">
        <v>341</v>
      </c>
      <c r="B42" s="289"/>
      <c r="C42" s="289"/>
      <c r="D42" s="289"/>
      <c r="E42" s="10"/>
    </row>
    <row r="43" spans="1:5" ht="15.75" x14ac:dyDescent="0.25">
      <c r="A43" s="289" t="s">
        <v>342</v>
      </c>
      <c r="B43" s="289"/>
      <c r="C43" s="289"/>
      <c r="D43" s="289"/>
      <c r="E43" s="10"/>
    </row>
    <row r="44" spans="1:5" ht="15.75" x14ac:dyDescent="0.25">
      <c r="A44" s="289" t="s">
        <v>343</v>
      </c>
      <c r="B44" s="289"/>
      <c r="C44" s="289"/>
      <c r="D44" s="289"/>
      <c r="E44" s="10"/>
    </row>
    <row r="45" spans="1:5" ht="15.75" x14ac:dyDescent="0.25">
      <c r="A45" s="289" t="s">
        <v>344</v>
      </c>
      <c r="B45" s="289"/>
      <c r="C45" s="289"/>
      <c r="D45" s="289"/>
      <c r="E45" s="10"/>
    </row>
    <row r="46" spans="1:5" ht="15.75" x14ac:dyDescent="0.25">
      <c r="A46" s="289" t="s">
        <v>345</v>
      </c>
      <c r="B46" s="289"/>
      <c r="C46" s="289"/>
      <c r="D46" s="289"/>
      <c r="E46" s="10"/>
    </row>
    <row r="47" spans="1:5" ht="15.75" x14ac:dyDescent="0.25">
      <c r="A47" s="10"/>
      <c r="B47" s="10"/>
      <c r="C47" s="10"/>
      <c r="D47" s="10"/>
      <c r="E47" s="10"/>
    </row>
    <row r="48" spans="1:5" s="29" customFormat="1" x14ac:dyDescent="0.25">
      <c r="A48" s="30" t="s">
        <v>73</v>
      </c>
      <c r="B48" s="30"/>
      <c r="C48" s="30"/>
      <c r="D48" s="30"/>
      <c r="E48" s="30"/>
    </row>
    <row r="49" spans="1:5" ht="70.5" customHeight="1" x14ac:dyDescent="0.25">
      <c r="A49" s="296" t="s">
        <v>222</v>
      </c>
      <c r="B49" s="296"/>
      <c r="C49" s="296"/>
      <c r="D49" s="296"/>
      <c r="E49" s="296"/>
    </row>
    <row r="50" spans="1:5" x14ac:dyDescent="0.25">
      <c r="A50" s="307" t="s">
        <v>352</v>
      </c>
      <c r="B50" s="307"/>
      <c r="C50" s="307"/>
      <c r="D50" s="307"/>
      <c r="E50" s="37"/>
    </row>
    <row r="51" spans="1:5" x14ac:dyDescent="0.25">
      <c r="A51" s="30" t="s">
        <v>81</v>
      </c>
      <c r="B51" s="31"/>
      <c r="C51" s="31"/>
      <c r="D51" s="64">
        <v>2024</v>
      </c>
      <c r="E51" s="64">
        <v>2023</v>
      </c>
    </row>
    <row r="52" spans="1:5" x14ac:dyDescent="0.25">
      <c r="A52" s="31" t="s">
        <v>177</v>
      </c>
      <c r="B52" s="31"/>
      <c r="C52" s="31"/>
      <c r="D52" s="214">
        <v>-485384.85</v>
      </c>
      <c r="E52" s="66">
        <v>-1902691.64</v>
      </c>
    </row>
    <row r="53" spans="1:5" x14ac:dyDescent="0.25">
      <c r="A53" s="300" t="s">
        <v>219</v>
      </c>
      <c r="B53" s="300"/>
      <c r="C53" s="300"/>
      <c r="D53" s="146">
        <v>0</v>
      </c>
      <c r="E53" s="168">
        <v>13355292.51</v>
      </c>
    </row>
    <row r="54" spans="1:5" x14ac:dyDescent="0.25">
      <c r="A54" s="31" t="s">
        <v>196</v>
      </c>
      <c r="B54" s="31"/>
      <c r="C54" s="31"/>
      <c r="D54" s="215">
        <v>1405745872.71</v>
      </c>
      <c r="E54" s="168">
        <v>12272558.869999999</v>
      </c>
    </row>
    <row r="55" spans="1:5" x14ac:dyDescent="0.25">
      <c r="A55" s="51" t="s">
        <v>197</v>
      </c>
      <c r="B55" s="51"/>
      <c r="C55" s="51"/>
      <c r="D55" s="146">
        <f>616455996.34-10678386.39</f>
        <v>605777609.95000005</v>
      </c>
      <c r="E55" s="169">
        <v>974756008</v>
      </c>
    </row>
    <row r="56" spans="1:5" x14ac:dyDescent="0.25">
      <c r="A56" s="51" t="s">
        <v>170</v>
      </c>
      <c r="B56" s="51"/>
      <c r="C56" s="51"/>
      <c r="D56" s="123">
        <v>700000</v>
      </c>
      <c r="E56" s="123">
        <v>700000</v>
      </c>
    </row>
    <row r="57" spans="1:5" x14ac:dyDescent="0.25">
      <c r="A57" s="147" t="s">
        <v>171</v>
      </c>
      <c r="B57" s="167">
        <v>200000</v>
      </c>
      <c r="C57" s="51"/>
      <c r="D57" s="146"/>
      <c r="E57" s="146"/>
    </row>
    <row r="58" spans="1:5" x14ac:dyDescent="0.25">
      <c r="A58" s="147" t="s">
        <v>172</v>
      </c>
      <c r="B58" s="167">
        <v>100000</v>
      </c>
      <c r="C58" s="51"/>
      <c r="D58" s="146"/>
      <c r="E58" s="146"/>
    </row>
    <row r="59" spans="1:5" x14ac:dyDescent="0.25">
      <c r="A59" s="147" t="s">
        <v>173</v>
      </c>
      <c r="B59" s="167">
        <v>100000</v>
      </c>
      <c r="C59" s="51"/>
      <c r="D59" s="146"/>
      <c r="E59" s="146"/>
    </row>
    <row r="60" spans="1:5" x14ac:dyDescent="0.25">
      <c r="A60" s="147" t="s">
        <v>174</v>
      </c>
      <c r="B60" s="167">
        <v>100000</v>
      </c>
      <c r="C60" s="51"/>
      <c r="D60" s="146"/>
      <c r="E60" s="146"/>
    </row>
    <row r="61" spans="1:5" x14ac:dyDescent="0.25">
      <c r="A61" s="147" t="s">
        <v>175</v>
      </c>
      <c r="B61" s="167">
        <v>100000</v>
      </c>
      <c r="C61" s="51"/>
      <c r="D61" s="146"/>
      <c r="E61" s="146"/>
    </row>
    <row r="62" spans="1:5" x14ac:dyDescent="0.25">
      <c r="A62" s="147" t="s">
        <v>176</v>
      </c>
      <c r="B62" s="167">
        <v>100000</v>
      </c>
      <c r="C62" s="51"/>
      <c r="D62" s="136"/>
      <c r="E62" s="136"/>
    </row>
    <row r="63" spans="1:5" ht="15.75" thickBot="1" x14ac:dyDescent="0.3">
      <c r="A63" s="301" t="s">
        <v>77</v>
      </c>
      <c r="B63" s="301"/>
      <c r="C63" s="31"/>
      <c r="D63" s="153">
        <f>+D52+D53+D54+D55+D56</f>
        <v>2011738097.8100002</v>
      </c>
      <c r="E63" s="38">
        <f>+E52+E53+E55+E54+E56</f>
        <v>999181167.74000001</v>
      </c>
    </row>
    <row r="64" spans="1:5" ht="15.75" thickTop="1" x14ac:dyDescent="0.25">
      <c r="A64" s="31" t="s">
        <v>66</v>
      </c>
      <c r="B64" s="31"/>
      <c r="C64" s="31"/>
      <c r="D64" s="57"/>
      <c r="E64" s="57"/>
    </row>
    <row r="65" spans="1:5" s="29" customFormat="1" x14ac:dyDescent="0.25">
      <c r="A65" s="50" t="s">
        <v>98</v>
      </c>
      <c r="B65" s="50"/>
      <c r="C65" s="50"/>
      <c r="D65" s="68"/>
      <c r="E65" s="50"/>
    </row>
    <row r="66" spans="1:5" ht="195" customHeight="1" x14ac:dyDescent="0.25">
      <c r="A66" s="299" t="s">
        <v>178</v>
      </c>
      <c r="B66" s="299"/>
      <c r="C66" s="299"/>
      <c r="D66" s="299"/>
      <c r="E66" s="299"/>
    </row>
    <row r="67" spans="1:5" x14ac:dyDescent="0.25">
      <c r="A67" s="303" t="s">
        <v>200</v>
      </c>
      <c r="B67" s="303"/>
      <c r="C67" s="303"/>
      <c r="D67" s="303"/>
      <c r="E67" s="165"/>
    </row>
    <row r="68" spans="1:5" x14ac:dyDescent="0.25">
      <c r="A68" s="50" t="s">
        <v>82</v>
      </c>
      <c r="B68" s="51"/>
      <c r="C68" s="51"/>
      <c r="D68" s="65">
        <v>2024</v>
      </c>
      <c r="E68" s="65">
        <v>2023</v>
      </c>
    </row>
    <row r="69" spans="1:5" x14ac:dyDescent="0.25">
      <c r="A69" s="288" t="s">
        <v>83</v>
      </c>
      <c r="B69" s="288"/>
      <c r="C69" s="288"/>
      <c r="D69" s="216">
        <v>287635016.13999999</v>
      </c>
      <c r="E69" s="216">
        <v>224191517.30000001</v>
      </c>
    </row>
    <row r="70" spans="1:5" x14ac:dyDescent="0.25">
      <c r="A70" s="288" t="s">
        <v>101</v>
      </c>
      <c r="B70" s="288"/>
      <c r="C70" s="288"/>
      <c r="D70" s="216">
        <v>7188217.7999999998</v>
      </c>
      <c r="E70" s="216">
        <f>628176.83*56</f>
        <v>35177902.479999997</v>
      </c>
    </row>
    <row r="71" spans="1:5" x14ac:dyDescent="0.25">
      <c r="A71" s="288" t="s">
        <v>105</v>
      </c>
      <c r="B71" s="288"/>
      <c r="C71" s="288"/>
      <c r="D71" s="216">
        <v>2400000</v>
      </c>
      <c r="E71" s="216">
        <v>15000000</v>
      </c>
    </row>
    <row r="72" spans="1:5" x14ac:dyDescent="0.25">
      <c r="A72" s="288" t="s">
        <v>220</v>
      </c>
      <c r="B72" s="288"/>
      <c r="C72" s="288"/>
      <c r="D72" s="216">
        <v>39193204.329999998</v>
      </c>
      <c r="E72" s="216">
        <v>39193204.329999998</v>
      </c>
    </row>
    <row r="73" spans="1:5" x14ac:dyDescent="0.25">
      <c r="A73" s="288" t="s">
        <v>221</v>
      </c>
      <c r="B73" s="288"/>
      <c r="C73" s="288"/>
      <c r="D73" s="58">
        <v>602473.37</v>
      </c>
      <c r="E73" s="58">
        <v>0</v>
      </c>
    </row>
    <row r="74" spans="1:5" ht="15.75" thickBot="1" x14ac:dyDescent="0.3">
      <c r="A74" s="295" t="s">
        <v>77</v>
      </c>
      <c r="B74" s="295"/>
      <c r="C74" s="51"/>
      <c r="D74" s="153">
        <f>D72+D69+D71+D70+D73</f>
        <v>337018911.63999999</v>
      </c>
      <c r="E74" s="153">
        <f>+E69+E71+E70+E73+E72</f>
        <v>313562624.11000001</v>
      </c>
    </row>
    <row r="75" spans="1:5" ht="15.75" thickTop="1" x14ac:dyDescent="0.25">
      <c r="A75" s="50"/>
      <c r="B75" s="51"/>
      <c r="C75" s="51"/>
      <c r="D75" s="67"/>
      <c r="E75" s="135"/>
    </row>
    <row r="76" spans="1:5" s="29" customFormat="1" x14ac:dyDescent="0.25">
      <c r="A76" s="30" t="s">
        <v>99</v>
      </c>
      <c r="B76" s="30"/>
      <c r="C76" s="30"/>
      <c r="D76" s="55"/>
      <c r="E76" s="30"/>
    </row>
    <row r="77" spans="1:5" ht="96.75" customHeight="1" x14ac:dyDescent="0.25">
      <c r="A77" s="296" t="s">
        <v>179</v>
      </c>
      <c r="B77" s="296"/>
      <c r="C77" s="296"/>
      <c r="D77" s="296"/>
      <c r="E77" s="296"/>
    </row>
    <row r="78" spans="1:5" x14ac:dyDescent="0.25">
      <c r="A78" s="37" t="s">
        <v>348</v>
      </c>
      <c r="B78" s="37"/>
      <c r="C78" s="37"/>
      <c r="D78" s="56"/>
      <c r="E78" s="37"/>
    </row>
    <row r="79" spans="1:5" x14ac:dyDescent="0.25">
      <c r="A79" s="31" t="s">
        <v>84</v>
      </c>
      <c r="B79" s="31"/>
      <c r="C79" s="31"/>
      <c r="D79" s="64">
        <v>2024</v>
      </c>
      <c r="E79" s="36">
        <v>2023</v>
      </c>
    </row>
    <row r="80" spans="1:5" x14ac:dyDescent="0.25">
      <c r="A80" s="31" t="s">
        <v>107</v>
      </c>
      <c r="B80" s="31"/>
      <c r="C80" s="31"/>
      <c r="D80" s="67">
        <v>588494674.54256451</v>
      </c>
      <c r="E80" s="67">
        <f>263903223.86+59396.81</f>
        <v>263962620.67000002</v>
      </c>
    </row>
    <row r="81" spans="1:5" x14ac:dyDescent="0.25">
      <c r="A81" s="31" t="s">
        <v>93</v>
      </c>
      <c r="B81" s="31"/>
      <c r="C81" s="31"/>
      <c r="D81" s="58">
        <v>103753286.23765141</v>
      </c>
      <c r="E81" s="33">
        <v>93804840.060000002</v>
      </c>
    </row>
    <row r="82" spans="1:5" ht="15.75" thickBot="1" x14ac:dyDescent="0.3">
      <c r="A82" s="301" t="s">
        <v>77</v>
      </c>
      <c r="B82" s="301"/>
      <c r="C82" s="31"/>
      <c r="D82" s="153">
        <f>+D80+D81</f>
        <v>692247960.78021598</v>
      </c>
      <c r="E82" s="38">
        <f>+E80+E81</f>
        <v>357767460.73000002</v>
      </c>
    </row>
    <row r="83" spans="1:5" ht="15.75" thickTop="1" x14ac:dyDescent="0.25">
      <c r="A83" s="31"/>
      <c r="B83" s="31"/>
      <c r="C83" s="31"/>
      <c r="D83" s="57"/>
      <c r="E83" s="141"/>
    </row>
    <row r="84" spans="1:5" s="29" customFormat="1" x14ac:dyDescent="0.25">
      <c r="A84" s="50" t="s">
        <v>100</v>
      </c>
      <c r="B84" s="50"/>
      <c r="C84" s="50"/>
      <c r="D84" s="68"/>
      <c r="E84" s="30"/>
    </row>
    <row r="85" spans="1:5" ht="39.75" customHeight="1" x14ac:dyDescent="0.25">
      <c r="A85" s="302" t="s">
        <v>182</v>
      </c>
      <c r="B85" s="302"/>
      <c r="C85" s="302"/>
      <c r="D85" s="302"/>
      <c r="E85" s="302"/>
    </row>
    <row r="86" spans="1:5" x14ac:dyDescent="0.25">
      <c r="A86" s="52" t="s">
        <v>201</v>
      </c>
      <c r="B86" s="51"/>
      <c r="C86" s="51"/>
      <c r="D86" s="69"/>
      <c r="E86" s="31"/>
    </row>
    <row r="87" spans="1:5" x14ac:dyDescent="0.25">
      <c r="A87" s="53" t="s">
        <v>181</v>
      </c>
      <c r="B87" s="51"/>
      <c r="C87" s="51"/>
      <c r="D87" s="65">
        <f>+D79</f>
        <v>2024</v>
      </c>
      <c r="E87" s="65">
        <f>+E79</f>
        <v>2023</v>
      </c>
    </row>
    <row r="88" spans="1:5" x14ac:dyDescent="0.25">
      <c r="A88" s="51" t="s">
        <v>106</v>
      </c>
      <c r="B88" s="51"/>
      <c r="C88" s="51"/>
      <c r="D88" s="123">
        <f>+'Detalle Nota No.10'!E31</f>
        <v>5935827.0015000012</v>
      </c>
      <c r="E88" s="123">
        <f>230030.29+310695.79+65209.07+319706.36+319706.36+1294322.68+1973644.4+181665+421968</f>
        <v>5116947.9499999993</v>
      </c>
    </row>
    <row r="89" spans="1:5" x14ac:dyDescent="0.25">
      <c r="A89" s="135" t="s">
        <v>153</v>
      </c>
      <c r="B89" s="51"/>
      <c r="C89" s="51"/>
      <c r="D89" s="123">
        <f>-'Detalle Nota No.10'!K31</f>
        <v>-2412742.0025726031</v>
      </c>
      <c r="E89" s="123">
        <v>-2069055.6048938499</v>
      </c>
    </row>
    <row r="90" spans="1:5" x14ac:dyDescent="0.25">
      <c r="A90" s="51" t="s">
        <v>154</v>
      </c>
      <c r="B90" s="51"/>
      <c r="C90" s="51"/>
      <c r="D90" s="123">
        <f>+'Detalle Nota No.10'!E16</f>
        <v>10722272.910000002</v>
      </c>
      <c r="E90" s="123">
        <v>8297770.2300000004</v>
      </c>
    </row>
    <row r="91" spans="1:5" x14ac:dyDescent="0.25">
      <c r="A91" s="288" t="s">
        <v>152</v>
      </c>
      <c r="B91" s="288"/>
      <c r="C91" s="51"/>
      <c r="D91" s="124">
        <f>-'Detalle Nota No.10'!K16</f>
        <v>-2344181.2418904109</v>
      </c>
      <c r="E91" s="124">
        <v>-2755987.8476847098</v>
      </c>
    </row>
    <row r="92" spans="1:5" ht="15.75" thickBot="1" x14ac:dyDescent="0.3">
      <c r="A92" s="295" t="s">
        <v>77</v>
      </c>
      <c r="B92" s="295"/>
      <c r="C92" s="51"/>
      <c r="D92" s="149">
        <f>SUM(D88:D91)</f>
        <v>11901176.667036988</v>
      </c>
      <c r="E92" s="149">
        <f>SUM(E88:E91)</f>
        <v>8589674.7274214402</v>
      </c>
    </row>
    <row r="93" spans="1:5" ht="15.75" thickTop="1" x14ac:dyDescent="0.25">
      <c r="A93" s="31"/>
      <c r="B93" s="31"/>
      <c r="C93" s="31"/>
      <c r="D93" s="57"/>
      <c r="E93" s="31"/>
    </row>
    <row r="94" spans="1:5" x14ac:dyDescent="0.25">
      <c r="A94" s="50" t="s">
        <v>180</v>
      </c>
      <c r="B94" s="31"/>
      <c r="C94" s="31"/>
      <c r="D94" s="57"/>
      <c r="E94" s="31"/>
    </row>
    <row r="95" spans="1:5" ht="57" customHeight="1" x14ac:dyDescent="0.25">
      <c r="A95" s="296" t="s">
        <v>203</v>
      </c>
      <c r="B95" s="296"/>
      <c r="C95" s="296"/>
      <c r="D95" s="296"/>
      <c r="E95" s="296"/>
    </row>
    <row r="96" spans="1:5" x14ac:dyDescent="0.25">
      <c r="A96" s="148" t="s">
        <v>202</v>
      </c>
      <c r="B96" s="31"/>
      <c r="C96" s="31"/>
      <c r="D96" s="57"/>
      <c r="E96" s="31"/>
    </row>
    <row r="97" spans="1:6" x14ac:dyDescent="0.25">
      <c r="A97" s="31"/>
      <c r="B97" s="31"/>
      <c r="C97" s="31"/>
      <c r="D97" s="57"/>
      <c r="E97" s="31"/>
    </row>
    <row r="98" spans="1:6" x14ac:dyDescent="0.25">
      <c r="A98" s="50" t="s">
        <v>147</v>
      </c>
      <c r="B98" s="51"/>
      <c r="C98" s="51"/>
      <c r="D98" s="69"/>
      <c r="E98" s="31"/>
    </row>
    <row r="99" spans="1:6" ht="29.25" customHeight="1" x14ac:dyDescent="0.25">
      <c r="A99" s="299" t="s">
        <v>184</v>
      </c>
      <c r="B99" s="299"/>
      <c r="C99" s="299"/>
      <c r="D99" s="299"/>
      <c r="E99" s="299"/>
    </row>
    <row r="100" spans="1:6" x14ac:dyDescent="0.25">
      <c r="A100" s="307" t="s">
        <v>204</v>
      </c>
      <c r="B100" s="307"/>
      <c r="C100" s="307"/>
      <c r="D100" s="307"/>
    </row>
    <row r="101" spans="1:6" x14ac:dyDescent="0.25">
      <c r="A101" s="50" t="s">
        <v>183</v>
      </c>
      <c r="B101" s="51"/>
      <c r="C101" s="51"/>
      <c r="D101" s="65">
        <v>2024</v>
      </c>
      <c r="E101" s="65">
        <v>2023</v>
      </c>
    </row>
    <row r="102" spans="1:6" x14ac:dyDescent="0.25">
      <c r="A102" s="51" t="s">
        <v>106</v>
      </c>
      <c r="B102" s="51"/>
      <c r="C102" s="51"/>
      <c r="D102" s="123">
        <v>13807388.029999999</v>
      </c>
      <c r="E102" s="123">
        <v>9764412.1300000008</v>
      </c>
      <c r="F102" s="59"/>
    </row>
    <row r="103" spans="1:6" x14ac:dyDescent="0.25">
      <c r="A103" s="51" t="s">
        <v>215</v>
      </c>
      <c r="B103" s="51"/>
      <c r="C103" s="51"/>
      <c r="D103" s="123">
        <f>-9135972.36</f>
        <v>-9135972.3599999994</v>
      </c>
      <c r="E103" s="123">
        <v>-8655378.3499999996</v>
      </c>
    </row>
    <row r="104" spans="1:6" x14ac:dyDescent="0.25">
      <c r="A104" s="51" t="s">
        <v>216</v>
      </c>
      <c r="B104" s="51"/>
      <c r="C104" s="51"/>
      <c r="D104" s="124">
        <v>-341370.5</v>
      </c>
      <c r="E104" s="124">
        <v>-278759.61</v>
      </c>
    </row>
    <row r="105" spans="1:6" ht="15.75" thickBot="1" x14ac:dyDescent="0.3">
      <c r="A105" s="295" t="s">
        <v>77</v>
      </c>
      <c r="B105" s="295"/>
      <c r="C105" s="51"/>
      <c r="D105" s="149">
        <f>SUM(D102:D104)</f>
        <v>4330045.17</v>
      </c>
      <c r="E105" s="149">
        <f>SUM(E102:E104)</f>
        <v>830274.17000000121</v>
      </c>
    </row>
    <row r="106" spans="1:6" ht="15.75" thickTop="1" x14ac:dyDescent="0.25">
      <c r="A106" s="31"/>
      <c r="B106" s="31"/>
      <c r="C106" s="31"/>
      <c r="D106" s="57"/>
      <c r="E106" s="31"/>
    </row>
    <row r="107" spans="1:6" x14ac:dyDescent="0.25">
      <c r="A107" s="50" t="s">
        <v>187</v>
      </c>
      <c r="B107" s="31"/>
      <c r="C107" s="31"/>
      <c r="D107" s="57"/>
      <c r="E107" s="31"/>
    </row>
    <row r="108" spans="1:6" ht="42.75" customHeight="1" x14ac:dyDescent="0.25">
      <c r="A108" s="299" t="s">
        <v>218</v>
      </c>
      <c r="B108" s="299"/>
      <c r="C108" s="299"/>
      <c r="D108" s="299"/>
      <c r="E108" s="299"/>
    </row>
    <row r="109" spans="1:6" ht="25.5" x14ac:dyDescent="0.25">
      <c r="A109" s="150" t="s">
        <v>186</v>
      </c>
      <c r="B109" s="131"/>
      <c r="C109" s="131"/>
      <c r="D109" s="65">
        <v>2024</v>
      </c>
      <c r="E109" s="65">
        <v>2023</v>
      </c>
    </row>
    <row r="110" spans="1:6" x14ac:dyDescent="0.25">
      <c r="A110" s="51" t="s">
        <v>217</v>
      </c>
      <c r="B110" s="51"/>
      <c r="C110" s="51"/>
      <c r="D110" s="124">
        <v>4728982.96</v>
      </c>
      <c r="E110" s="124">
        <v>4045030.78</v>
      </c>
    </row>
    <row r="111" spans="1:6" ht="15.75" thickBot="1" x14ac:dyDescent="0.3">
      <c r="A111" s="295" t="s">
        <v>77</v>
      </c>
      <c r="B111" s="295"/>
      <c r="C111" s="31"/>
      <c r="D111" s="151">
        <f>+D110</f>
        <v>4728982.96</v>
      </c>
      <c r="E111" s="151">
        <f>+E110</f>
        <v>4045030.78</v>
      </c>
    </row>
    <row r="112" spans="1:6" ht="15.75" thickTop="1" x14ac:dyDescent="0.25">
      <c r="A112" s="31"/>
      <c r="B112" s="31"/>
      <c r="C112" s="31"/>
      <c r="D112" s="57"/>
      <c r="E112" s="31"/>
    </row>
    <row r="113" spans="1:5" x14ac:dyDescent="0.25">
      <c r="A113" s="30" t="s">
        <v>362</v>
      </c>
      <c r="B113" s="31"/>
      <c r="C113" s="31"/>
      <c r="D113" s="57"/>
      <c r="E113" s="31"/>
    </row>
    <row r="114" spans="1:5" ht="30.75" customHeight="1" x14ac:dyDescent="0.25">
      <c r="A114" s="304" t="s">
        <v>364</v>
      </c>
      <c r="B114" s="304"/>
      <c r="C114" s="304"/>
      <c r="D114" s="304"/>
      <c r="E114" s="304"/>
    </row>
    <row r="115" spans="1:5" x14ac:dyDescent="0.25">
      <c r="A115" s="30"/>
      <c r="B115" s="31"/>
      <c r="C115" s="31"/>
      <c r="D115" s="57"/>
      <c r="E115" s="31"/>
    </row>
    <row r="116" spans="1:5" x14ac:dyDescent="0.25">
      <c r="A116" s="50" t="s">
        <v>85</v>
      </c>
      <c r="B116" s="50"/>
      <c r="C116" s="51"/>
      <c r="D116" s="65">
        <v>2024</v>
      </c>
      <c r="E116" s="65">
        <v>2023</v>
      </c>
    </row>
    <row r="117" spans="1:5" x14ac:dyDescent="0.25">
      <c r="A117" s="51" t="s">
        <v>223</v>
      </c>
      <c r="B117" s="51"/>
      <c r="C117" s="51"/>
      <c r="D117" s="217">
        <v>485384.85</v>
      </c>
      <c r="E117" s="217">
        <v>1902691.64</v>
      </c>
    </row>
    <row r="118" spans="1:5" ht="15.75" thickBot="1" x14ac:dyDescent="0.3">
      <c r="A118" s="30"/>
      <c r="B118" s="31"/>
      <c r="C118" s="31"/>
      <c r="D118" s="151">
        <f>+D117</f>
        <v>485384.85</v>
      </c>
      <c r="E118" s="275">
        <f>+E117</f>
        <v>1902691.64</v>
      </c>
    </row>
    <row r="119" spans="1:5" ht="15.75" thickTop="1" x14ac:dyDescent="0.25">
      <c r="A119" s="30"/>
      <c r="B119" s="31"/>
      <c r="C119" s="31"/>
      <c r="D119" s="57"/>
      <c r="E119" s="31"/>
    </row>
    <row r="120" spans="1:5" x14ac:dyDescent="0.25">
      <c r="A120" s="31"/>
      <c r="B120" s="31"/>
      <c r="C120" s="31"/>
      <c r="D120" s="57"/>
      <c r="E120" s="31"/>
    </row>
    <row r="121" spans="1:5" x14ac:dyDescent="0.25">
      <c r="A121" s="50" t="s">
        <v>365</v>
      </c>
      <c r="B121" s="51"/>
      <c r="C121" s="51"/>
      <c r="D121" s="69"/>
      <c r="E121" s="51"/>
    </row>
    <row r="122" spans="1:5" ht="43.5" customHeight="1" x14ac:dyDescent="0.25">
      <c r="A122" s="299" t="s">
        <v>188</v>
      </c>
      <c r="B122" s="299"/>
      <c r="C122" s="299"/>
      <c r="D122" s="299"/>
      <c r="E122" s="299"/>
    </row>
    <row r="123" spans="1:5" x14ac:dyDescent="0.25">
      <c r="A123" s="303" t="s">
        <v>205</v>
      </c>
      <c r="B123" s="303"/>
      <c r="C123" s="303"/>
      <c r="D123" s="303"/>
      <c r="E123" s="51"/>
    </row>
    <row r="124" spans="1:5" x14ac:dyDescent="0.25">
      <c r="A124" s="51" t="s">
        <v>85</v>
      </c>
      <c r="B124" s="51"/>
      <c r="C124" s="51"/>
      <c r="D124" s="65">
        <v>2024</v>
      </c>
      <c r="E124" s="65">
        <v>2023</v>
      </c>
    </row>
    <row r="125" spans="1:5" x14ac:dyDescent="0.25">
      <c r="A125" s="51" t="s">
        <v>95</v>
      </c>
      <c r="B125" s="51"/>
      <c r="C125" s="51"/>
      <c r="D125" s="58">
        <v>208110675.38</v>
      </c>
      <c r="E125" s="58">
        <v>114694113.03</v>
      </c>
    </row>
    <row r="126" spans="1:5" ht="15.75" thickBot="1" x14ac:dyDescent="0.3">
      <c r="A126" s="295" t="s">
        <v>77</v>
      </c>
      <c r="B126" s="295"/>
      <c r="C126" s="51"/>
      <c r="D126" s="153">
        <f>SUM(D125:D125)</f>
        <v>208110675.38</v>
      </c>
      <c r="E126" s="153">
        <f>SUM(E125:E125)</f>
        <v>114694113.03</v>
      </c>
    </row>
    <row r="127" spans="1:5" ht="15.75" thickTop="1" x14ac:dyDescent="0.25">
      <c r="A127" s="31"/>
      <c r="B127" s="31"/>
      <c r="C127" s="31"/>
      <c r="D127" s="57"/>
      <c r="E127" s="31"/>
    </row>
    <row r="128" spans="1:5" x14ac:dyDescent="0.25">
      <c r="A128" s="50" t="s">
        <v>366</v>
      </c>
      <c r="B128" s="51"/>
      <c r="C128" s="51"/>
      <c r="D128" s="69"/>
      <c r="E128" s="51"/>
    </row>
    <row r="129" spans="1:5" ht="72.75" customHeight="1" x14ac:dyDescent="0.25">
      <c r="A129" s="302" t="s">
        <v>224</v>
      </c>
      <c r="B129" s="302"/>
      <c r="C129" s="302"/>
      <c r="D129" s="302"/>
      <c r="E129" s="302"/>
    </row>
    <row r="130" spans="1:5" ht="20.25" customHeight="1" x14ac:dyDescent="0.25">
      <c r="A130" s="303" t="s">
        <v>206</v>
      </c>
      <c r="B130" s="303"/>
      <c r="C130" s="303"/>
      <c r="D130" s="303"/>
      <c r="E130" s="51"/>
    </row>
    <row r="131" spans="1:5" x14ac:dyDescent="0.25">
      <c r="A131" s="51" t="s">
        <v>159</v>
      </c>
      <c r="B131" s="51"/>
      <c r="C131" s="51"/>
      <c r="D131" s="65">
        <v>2024</v>
      </c>
      <c r="E131" s="65">
        <v>2023</v>
      </c>
    </row>
    <row r="132" spans="1:5" x14ac:dyDescent="0.25">
      <c r="A132" s="51" t="s">
        <v>94</v>
      </c>
      <c r="B132" s="51"/>
      <c r="C132" s="51"/>
      <c r="D132" s="58">
        <f>119300.91+217785.64+44892.39+48060.02+275026.49+59150.15</f>
        <v>764215.60000000009</v>
      </c>
      <c r="E132" s="58">
        <v>26905775.449999999</v>
      </c>
    </row>
    <row r="133" spans="1:5" ht="15.75" thickBot="1" x14ac:dyDescent="0.3">
      <c r="A133" s="295" t="s">
        <v>77</v>
      </c>
      <c r="B133" s="295"/>
      <c r="C133" s="51"/>
      <c r="D133" s="153">
        <f>+D132</f>
        <v>764215.60000000009</v>
      </c>
      <c r="E133" s="153">
        <f>+E132</f>
        <v>26905775.449999999</v>
      </c>
    </row>
    <row r="134" spans="1:5" ht="15.75" thickTop="1" x14ac:dyDescent="0.25">
      <c r="A134" s="51"/>
      <c r="B134" s="51"/>
      <c r="C134" s="51"/>
      <c r="D134" s="69"/>
      <c r="E134" s="51"/>
    </row>
    <row r="135" spans="1:5" x14ac:dyDescent="0.25">
      <c r="A135" s="50" t="s">
        <v>367</v>
      </c>
      <c r="B135" s="51"/>
      <c r="C135" s="51"/>
      <c r="D135" s="69"/>
      <c r="E135" s="51"/>
    </row>
    <row r="136" spans="1:5" ht="75" customHeight="1" x14ac:dyDescent="0.25">
      <c r="A136" s="299" t="s">
        <v>225</v>
      </c>
      <c r="B136" s="299"/>
      <c r="C136" s="299"/>
      <c r="D136" s="299"/>
      <c r="E136" s="299"/>
    </row>
    <row r="137" spans="1:5" x14ac:dyDescent="0.25">
      <c r="A137" s="303" t="s">
        <v>207</v>
      </c>
      <c r="B137" s="303"/>
      <c r="C137" s="303"/>
      <c r="D137" s="303"/>
      <c r="E137" s="51"/>
    </row>
    <row r="138" spans="1:5" x14ac:dyDescent="0.25">
      <c r="A138" s="51" t="s">
        <v>85</v>
      </c>
      <c r="B138" s="51"/>
      <c r="C138" s="51"/>
      <c r="D138" s="65">
        <v>2024</v>
      </c>
      <c r="E138" s="65">
        <v>2023</v>
      </c>
    </row>
    <row r="139" spans="1:5" x14ac:dyDescent="0.25">
      <c r="A139" s="298" t="s">
        <v>189</v>
      </c>
      <c r="B139" s="298"/>
      <c r="C139" s="298"/>
      <c r="D139" s="219">
        <v>4126407.67</v>
      </c>
      <c r="E139" s="219">
        <v>15900997.109999999</v>
      </c>
    </row>
    <row r="140" spans="1:5" ht="15.75" thickBot="1" x14ac:dyDescent="0.3">
      <c r="A140" s="295" t="s">
        <v>77</v>
      </c>
      <c r="B140" s="295"/>
      <c r="C140" s="51"/>
      <c r="D140" s="220">
        <f>+D139</f>
        <v>4126407.67</v>
      </c>
      <c r="E140" s="220">
        <f>+E139</f>
        <v>15900997.109999999</v>
      </c>
    </row>
    <row r="141" spans="1:5" ht="15.75" thickTop="1" x14ac:dyDescent="0.25">
      <c r="A141" s="31"/>
      <c r="B141" s="31"/>
      <c r="C141" s="31"/>
      <c r="D141" s="57"/>
      <c r="E141" s="31"/>
    </row>
    <row r="142" spans="1:5" x14ac:dyDescent="0.25">
      <c r="A142" s="30" t="s">
        <v>368</v>
      </c>
      <c r="B142" s="31"/>
      <c r="C142" s="31"/>
      <c r="D142" s="127"/>
      <c r="E142" s="31"/>
    </row>
    <row r="143" spans="1:5" ht="114.75" customHeight="1" x14ac:dyDescent="0.25">
      <c r="A143" s="297" t="s">
        <v>214</v>
      </c>
      <c r="B143" s="297"/>
      <c r="C143" s="297"/>
      <c r="D143" s="297"/>
      <c r="E143" s="297"/>
    </row>
    <row r="144" spans="1:5" x14ac:dyDescent="0.25">
      <c r="A144" s="37" t="s">
        <v>208</v>
      </c>
      <c r="B144" s="31"/>
      <c r="C144" s="31"/>
      <c r="D144" s="127"/>
      <c r="E144" s="31"/>
    </row>
    <row r="145" spans="1:5" x14ac:dyDescent="0.25">
      <c r="A145" s="152" t="s">
        <v>156</v>
      </c>
      <c r="B145" s="31"/>
      <c r="C145" s="31"/>
      <c r="D145" s="128">
        <v>2024</v>
      </c>
      <c r="E145" s="128">
        <v>2023</v>
      </c>
    </row>
    <row r="146" spans="1:5" x14ac:dyDescent="0.25">
      <c r="A146" s="31" t="s">
        <v>363</v>
      </c>
      <c r="B146" s="31"/>
      <c r="C146" s="31"/>
      <c r="D146" s="67">
        <f>+'Estado de Situación'!E11</f>
        <v>3793684475.7612529</v>
      </c>
      <c r="E146" s="67">
        <v>2332950547.0500002</v>
      </c>
    </row>
    <row r="147" spans="1:5" x14ac:dyDescent="0.25">
      <c r="A147" s="31" t="s">
        <v>48</v>
      </c>
      <c r="B147" s="31"/>
      <c r="C147" s="31"/>
      <c r="D147" s="124">
        <f>+'Est. de Rendimiento Fin'!B24</f>
        <v>-418851397.48999977</v>
      </c>
      <c r="E147" s="202">
        <v>1166625644.72</v>
      </c>
    </row>
    <row r="148" spans="1:5" ht="15.75" thickBot="1" x14ac:dyDescent="0.3">
      <c r="A148" s="301" t="s">
        <v>77</v>
      </c>
      <c r="B148" s="301"/>
      <c r="C148" s="31"/>
      <c r="D148" s="153">
        <f>SUM(D146:D147)</f>
        <v>3374833078.2712531</v>
      </c>
      <c r="E148" s="153">
        <f>SUM(E146:E147)</f>
        <v>3499576191.7700005</v>
      </c>
    </row>
    <row r="149" spans="1:5" ht="15.75" thickTop="1" x14ac:dyDescent="0.25">
      <c r="A149" s="31"/>
      <c r="B149" s="31"/>
      <c r="C149" s="31"/>
      <c r="D149" s="127"/>
      <c r="E149" s="31"/>
    </row>
    <row r="150" spans="1:5" x14ac:dyDescent="0.25">
      <c r="A150" s="30" t="s">
        <v>14</v>
      </c>
      <c r="B150" s="31"/>
      <c r="C150" s="31"/>
      <c r="D150" s="127"/>
      <c r="E150" s="31"/>
    </row>
    <row r="151" spans="1:5" x14ac:dyDescent="0.25">
      <c r="A151" s="31"/>
      <c r="B151" s="31"/>
      <c r="C151" s="31"/>
      <c r="D151" s="57"/>
      <c r="E151" s="31"/>
    </row>
    <row r="152" spans="1:5" x14ac:dyDescent="0.25">
      <c r="A152" s="50" t="s">
        <v>369</v>
      </c>
      <c r="B152" s="51"/>
      <c r="C152" s="51"/>
      <c r="D152" s="69"/>
      <c r="E152" s="51"/>
    </row>
    <row r="153" spans="1:5" ht="28.5" customHeight="1" x14ac:dyDescent="0.25">
      <c r="A153" s="298" t="s">
        <v>228</v>
      </c>
      <c r="B153" s="298"/>
      <c r="C153" s="298"/>
      <c r="D153" s="298"/>
      <c r="E153" s="298"/>
    </row>
    <row r="154" spans="1:5" x14ac:dyDescent="0.25">
      <c r="A154" s="303" t="s">
        <v>209</v>
      </c>
      <c r="B154" s="303"/>
      <c r="C154" s="303"/>
      <c r="D154" s="303"/>
      <c r="E154" s="51"/>
    </row>
    <row r="155" spans="1:5" x14ac:dyDescent="0.25">
      <c r="A155" s="50" t="s">
        <v>148</v>
      </c>
      <c r="B155" s="51"/>
      <c r="C155" s="51"/>
      <c r="D155" s="65">
        <v>2024</v>
      </c>
      <c r="E155" s="65">
        <v>2023</v>
      </c>
    </row>
    <row r="156" spans="1:5" x14ac:dyDescent="0.25">
      <c r="A156" s="51" t="s">
        <v>227</v>
      </c>
      <c r="B156" s="51"/>
      <c r="C156" s="51"/>
      <c r="D156" s="217">
        <f>2807877083.26+850854101.5+369190325.69</f>
        <v>4027921510.4500003</v>
      </c>
      <c r="E156" s="217">
        <v>0</v>
      </c>
    </row>
    <row r="157" spans="1:5" x14ac:dyDescent="0.25">
      <c r="A157" s="51" t="s">
        <v>226</v>
      </c>
      <c r="B157" s="51"/>
      <c r="C157" s="51"/>
      <c r="D157" s="58">
        <v>117785658.31</v>
      </c>
      <c r="E157" s="58">
        <v>4632614865.3299999</v>
      </c>
    </row>
    <row r="158" spans="1:5" ht="15.75" thickBot="1" x14ac:dyDescent="0.3">
      <c r="A158" s="295" t="s">
        <v>77</v>
      </c>
      <c r="B158" s="295"/>
      <c r="C158" s="51"/>
      <c r="D158" s="153">
        <f>+D156+D157</f>
        <v>4145707168.7600002</v>
      </c>
      <c r="E158" s="153">
        <f>SUM(E157)</f>
        <v>4632614865.3299999</v>
      </c>
    </row>
    <row r="159" spans="1:5" ht="15.75" thickTop="1" x14ac:dyDescent="0.25">
      <c r="A159" s="31"/>
      <c r="B159" s="31"/>
      <c r="C159" s="31"/>
      <c r="D159" s="54"/>
      <c r="E159" s="32"/>
    </row>
    <row r="160" spans="1:5" x14ac:dyDescent="0.25">
      <c r="A160" s="30" t="s">
        <v>370</v>
      </c>
      <c r="B160" s="31"/>
      <c r="C160" s="31"/>
      <c r="D160" s="57"/>
      <c r="E160" s="31"/>
    </row>
    <row r="161" spans="1:5" ht="48" customHeight="1" x14ac:dyDescent="0.25">
      <c r="A161" s="297" t="s">
        <v>190</v>
      </c>
      <c r="B161" s="297"/>
      <c r="C161" s="297"/>
      <c r="D161" s="297"/>
      <c r="E161" s="297"/>
    </row>
    <row r="162" spans="1:5" ht="18.75" customHeight="1" x14ac:dyDescent="0.25">
      <c r="A162" s="296" t="s">
        <v>210</v>
      </c>
      <c r="B162" s="296"/>
      <c r="C162" s="296"/>
      <c r="D162" s="296"/>
      <c r="E162" s="296"/>
    </row>
    <row r="163" spans="1:5" ht="12" customHeight="1" x14ac:dyDescent="0.25">
      <c r="A163" s="294" t="s">
        <v>191</v>
      </c>
      <c r="B163" s="294"/>
      <c r="C163" s="51"/>
      <c r="D163" s="65">
        <v>2024</v>
      </c>
      <c r="E163" s="65">
        <v>2023</v>
      </c>
    </row>
    <row r="164" spans="1:5" ht="12" customHeight="1" x14ac:dyDescent="0.25">
      <c r="A164" s="306" t="s">
        <v>247</v>
      </c>
      <c r="B164" s="306"/>
      <c r="C164" s="51"/>
      <c r="D164" s="65"/>
      <c r="E164" s="65"/>
    </row>
    <row r="165" spans="1:5" ht="12" customHeight="1" x14ac:dyDescent="0.25">
      <c r="A165" s="288" t="s">
        <v>261</v>
      </c>
      <c r="B165" s="288"/>
      <c r="C165" s="51"/>
      <c r="D165" s="132">
        <v>1391268613.27</v>
      </c>
      <c r="E165" s="67">
        <v>2577703625.5100002</v>
      </c>
    </row>
    <row r="166" spans="1:5" ht="12" customHeight="1" x14ac:dyDescent="0.25">
      <c r="A166" s="291" t="s">
        <v>248</v>
      </c>
      <c r="B166" s="291"/>
      <c r="C166" s="51"/>
      <c r="D166" s="132">
        <v>187550</v>
      </c>
      <c r="E166" s="132">
        <v>0</v>
      </c>
    </row>
    <row r="167" spans="1:5" ht="12" customHeight="1" x14ac:dyDescent="0.25">
      <c r="A167" s="291" t="s">
        <v>249</v>
      </c>
      <c r="B167" s="291"/>
      <c r="C167" s="51"/>
      <c r="D167" s="132">
        <v>937543672.11000001</v>
      </c>
      <c r="E167" s="69">
        <v>0</v>
      </c>
    </row>
    <row r="168" spans="1:5" ht="12" customHeight="1" x14ac:dyDescent="0.25">
      <c r="A168" s="291" t="s">
        <v>250</v>
      </c>
      <c r="B168" s="291"/>
      <c r="C168" s="51"/>
      <c r="D168" s="132">
        <v>4922079.84</v>
      </c>
      <c r="E168" s="69">
        <v>0</v>
      </c>
    </row>
    <row r="169" spans="1:5" ht="12" customHeight="1" x14ac:dyDescent="0.25">
      <c r="A169" s="135"/>
      <c r="B169" s="135" t="s">
        <v>289</v>
      </c>
      <c r="C169" s="51"/>
      <c r="D169" s="132">
        <v>1634520</v>
      </c>
      <c r="E169" s="69">
        <v>0</v>
      </c>
    </row>
    <row r="170" spans="1:5" ht="12" customHeight="1" x14ac:dyDescent="0.25">
      <c r="A170" s="291" t="s">
        <v>251</v>
      </c>
      <c r="B170" s="291"/>
      <c r="C170" s="51"/>
      <c r="D170" s="132">
        <v>16560250</v>
      </c>
      <c r="E170" s="132">
        <v>0</v>
      </c>
    </row>
    <row r="171" spans="1:5" ht="12" customHeight="1" x14ac:dyDescent="0.25">
      <c r="A171" s="306" t="s">
        <v>252</v>
      </c>
      <c r="B171" s="306"/>
      <c r="C171" s="51"/>
      <c r="D171" s="132"/>
      <c r="E171" s="67"/>
    </row>
    <row r="172" spans="1:5" ht="12" customHeight="1" x14ac:dyDescent="0.25">
      <c r="A172" s="291" t="s">
        <v>253</v>
      </c>
      <c r="B172" s="291"/>
      <c r="C172" s="51"/>
      <c r="D172" s="132">
        <v>95000</v>
      </c>
      <c r="E172" s="67">
        <f>259175657.6+74698.76</f>
        <v>259250356.35999998</v>
      </c>
    </row>
    <row r="173" spans="1:5" ht="12" customHeight="1" x14ac:dyDescent="0.25">
      <c r="A173" s="135"/>
      <c r="B173" s="135" t="s">
        <v>291</v>
      </c>
      <c r="C173" s="51"/>
      <c r="D173" s="132">
        <v>350359169.61000001</v>
      </c>
      <c r="E173" s="67">
        <v>0</v>
      </c>
    </row>
    <row r="174" spans="1:5" ht="12" customHeight="1" x14ac:dyDescent="0.25">
      <c r="A174" s="135"/>
      <c r="B174" s="135" t="s">
        <v>290</v>
      </c>
      <c r="C174" s="51"/>
      <c r="D174" s="132">
        <v>735966.64</v>
      </c>
      <c r="E174" s="67">
        <v>0</v>
      </c>
    </row>
    <row r="175" spans="1:5" ht="12" customHeight="1" x14ac:dyDescent="0.25">
      <c r="A175" s="291" t="s">
        <v>254</v>
      </c>
      <c r="B175" s="291"/>
      <c r="C175" s="51"/>
      <c r="D175" s="132">
        <v>11199047.5</v>
      </c>
      <c r="E175" s="132">
        <v>0</v>
      </c>
    </row>
    <row r="176" spans="1:5" ht="12" customHeight="1" x14ac:dyDescent="0.25">
      <c r="A176" s="291" t="s">
        <v>255</v>
      </c>
      <c r="B176" s="291"/>
      <c r="C176" s="51"/>
      <c r="D176" s="132">
        <v>447351.28</v>
      </c>
      <c r="E176" s="67">
        <v>603152.87</v>
      </c>
    </row>
    <row r="177" spans="1:5" ht="12" customHeight="1" x14ac:dyDescent="0.25">
      <c r="A177" s="291" t="s">
        <v>256</v>
      </c>
      <c r="B177" s="291"/>
      <c r="C177" s="51"/>
      <c r="D177" s="132">
        <v>6597100.1600000001</v>
      </c>
      <c r="E177" s="216">
        <v>7326953.29</v>
      </c>
    </row>
    <row r="178" spans="1:5" ht="12" customHeight="1" x14ac:dyDescent="0.25">
      <c r="A178" s="306" t="s">
        <v>257</v>
      </c>
      <c r="B178" s="306"/>
      <c r="C178" s="51"/>
      <c r="D178" s="132"/>
      <c r="E178" s="67"/>
    </row>
    <row r="179" spans="1:5" ht="12" customHeight="1" x14ac:dyDescent="0.25">
      <c r="A179" s="292" t="s">
        <v>258</v>
      </c>
      <c r="B179" s="292"/>
      <c r="C179" s="221"/>
      <c r="D179" s="132">
        <v>165567516.43000001</v>
      </c>
      <c r="E179" s="222">
        <v>161248485.63999999</v>
      </c>
    </row>
    <row r="180" spans="1:5" ht="12" customHeight="1" x14ac:dyDescent="0.25">
      <c r="A180" s="292" t="s">
        <v>259</v>
      </c>
      <c r="B180" s="292"/>
      <c r="C180" s="221"/>
      <c r="D180" s="132">
        <v>165824855.41</v>
      </c>
      <c r="E180" s="222">
        <v>161513636.86000001</v>
      </c>
    </row>
    <row r="181" spans="1:5" ht="12" customHeight="1" x14ac:dyDescent="0.25">
      <c r="A181" s="292" t="s">
        <v>260</v>
      </c>
      <c r="B181" s="292"/>
      <c r="C181" s="218"/>
      <c r="D181" s="132">
        <v>26590971.25</v>
      </c>
      <c r="E181" s="253">
        <v>25795949.809999999</v>
      </c>
    </row>
    <row r="182" spans="1:5" ht="12" customHeight="1" thickBot="1" x14ac:dyDescent="0.3">
      <c r="A182" s="295" t="s">
        <v>77</v>
      </c>
      <c r="B182" s="295"/>
      <c r="C182" s="51"/>
      <c r="D182" s="223">
        <f>SUM(D165:D181)</f>
        <v>3079533663.5</v>
      </c>
      <c r="E182" s="224">
        <f>E181+E165+E172+E176+E177+E179+E180</f>
        <v>3193442160.3400002</v>
      </c>
    </row>
    <row r="183" spans="1:5" ht="12" customHeight="1" thickTop="1" x14ac:dyDescent="0.25">
      <c r="A183" s="152"/>
      <c r="B183" s="152"/>
      <c r="C183" s="51"/>
      <c r="D183" s="65"/>
      <c r="E183" s="65"/>
    </row>
    <row r="184" spans="1:5" x14ac:dyDescent="0.25">
      <c r="A184" s="31" t="s">
        <v>76</v>
      </c>
      <c r="B184" s="31"/>
      <c r="C184" s="31"/>
      <c r="D184" s="57"/>
      <c r="E184" s="31"/>
    </row>
    <row r="185" spans="1:5" ht="43.5" customHeight="1" x14ac:dyDescent="0.25">
      <c r="A185" s="302" t="s">
        <v>355</v>
      </c>
      <c r="B185" s="302"/>
      <c r="C185" s="302"/>
      <c r="D185" s="302"/>
      <c r="E185" s="302"/>
    </row>
    <row r="186" spans="1:5" x14ac:dyDescent="0.25">
      <c r="A186" s="31"/>
      <c r="B186" s="31"/>
      <c r="C186" s="31"/>
      <c r="D186" s="57"/>
      <c r="E186" s="31"/>
    </row>
    <row r="187" spans="1:5" x14ac:dyDescent="0.25">
      <c r="A187" s="30" t="s">
        <v>371</v>
      </c>
      <c r="B187" s="31"/>
      <c r="C187" s="31"/>
      <c r="D187" s="57"/>
      <c r="E187" s="31"/>
    </row>
    <row r="188" spans="1:5" ht="42" customHeight="1" x14ac:dyDescent="0.25">
      <c r="A188" s="296" t="s">
        <v>192</v>
      </c>
      <c r="B188" s="296"/>
      <c r="C188" s="296"/>
      <c r="D188" s="296"/>
      <c r="E188" s="296"/>
    </row>
    <row r="189" spans="1:5" x14ac:dyDescent="0.25">
      <c r="A189" s="307" t="s">
        <v>211</v>
      </c>
      <c r="B189" s="307"/>
      <c r="C189" s="307"/>
      <c r="D189" s="307"/>
      <c r="E189" s="307"/>
    </row>
    <row r="190" spans="1:5" x14ac:dyDescent="0.25">
      <c r="A190" s="305" t="s">
        <v>193</v>
      </c>
      <c r="B190" s="305"/>
      <c r="C190" s="31"/>
      <c r="D190" s="64">
        <v>2024</v>
      </c>
      <c r="E190" s="64">
        <v>2023</v>
      </c>
    </row>
    <row r="191" spans="1:5" x14ac:dyDescent="0.25">
      <c r="A191" s="293" t="s">
        <v>292</v>
      </c>
      <c r="B191" s="293"/>
      <c r="C191" s="31"/>
      <c r="D191" s="217">
        <v>206210356.81999999</v>
      </c>
      <c r="E191" s="54">
        <v>96168369</v>
      </c>
    </row>
    <row r="192" spans="1:5" x14ac:dyDescent="0.25">
      <c r="A192" s="293" t="s">
        <v>293</v>
      </c>
      <c r="B192" s="293"/>
      <c r="C192" s="31"/>
      <c r="D192" s="217">
        <v>25759241.690000001</v>
      </c>
      <c r="E192" s="39">
        <v>174621200</v>
      </c>
    </row>
    <row r="193" spans="1:5" x14ac:dyDescent="0.25">
      <c r="A193" s="293" t="s">
        <v>294</v>
      </c>
      <c r="B193" s="293"/>
      <c r="C193" s="31"/>
      <c r="D193" s="217">
        <v>17759738.670000002</v>
      </c>
      <c r="E193" s="126">
        <v>0</v>
      </c>
    </row>
    <row r="194" spans="1:5" x14ac:dyDescent="0.25">
      <c r="A194" s="293" t="s">
        <v>298</v>
      </c>
      <c r="B194" s="293"/>
      <c r="C194" s="31"/>
      <c r="D194" s="217">
        <v>136091.43</v>
      </c>
      <c r="E194" s="126">
        <v>0</v>
      </c>
    </row>
    <row r="195" spans="1:5" x14ac:dyDescent="0.25">
      <c r="A195" s="293" t="s">
        <v>295</v>
      </c>
      <c r="B195" s="293"/>
      <c r="C195" s="31"/>
      <c r="D195" s="132">
        <v>5774809.9100000001</v>
      </c>
      <c r="E195" s="126">
        <v>0</v>
      </c>
    </row>
    <row r="196" spans="1:5" x14ac:dyDescent="0.25">
      <c r="A196" s="293" t="s">
        <v>299</v>
      </c>
      <c r="B196" s="293"/>
      <c r="C196" s="31"/>
      <c r="D196" s="132">
        <v>2671619.9</v>
      </c>
      <c r="E196" s="126">
        <v>0</v>
      </c>
    </row>
    <row r="197" spans="1:5" x14ac:dyDescent="0.25">
      <c r="A197" s="293" t="s">
        <v>296</v>
      </c>
      <c r="B197" s="293"/>
      <c r="C197" s="31"/>
      <c r="D197" s="217">
        <v>39663008.850000001</v>
      </c>
      <c r="E197" s="126">
        <v>0</v>
      </c>
    </row>
    <row r="198" spans="1:5" x14ac:dyDescent="0.25">
      <c r="A198" s="293" t="s">
        <v>297</v>
      </c>
      <c r="B198" s="293"/>
      <c r="C198" s="31"/>
      <c r="D198" s="225">
        <v>29480488.780000001</v>
      </c>
      <c r="E198" s="193">
        <v>0</v>
      </c>
    </row>
    <row r="199" spans="1:5" ht="15.75" thickBot="1" x14ac:dyDescent="0.3">
      <c r="A199" s="301" t="s">
        <v>77</v>
      </c>
      <c r="B199" s="301"/>
      <c r="C199" s="31"/>
      <c r="D199" s="153">
        <f>SUM(D191:D198)</f>
        <v>327455356.05000007</v>
      </c>
      <c r="E199" s="38">
        <f>+E191+E192</f>
        <v>270789569</v>
      </c>
    </row>
    <row r="200" spans="1:5" ht="15.75" thickTop="1" x14ac:dyDescent="0.25">
      <c r="A200" s="31"/>
      <c r="B200" s="31"/>
      <c r="C200" s="31"/>
    </row>
    <row r="201" spans="1:5" x14ac:dyDescent="0.25">
      <c r="A201" s="294" t="s">
        <v>372</v>
      </c>
      <c r="B201" s="294"/>
      <c r="C201" s="51"/>
      <c r="D201" s="65">
        <v>2024</v>
      </c>
      <c r="E201" s="36">
        <v>2023</v>
      </c>
    </row>
    <row r="202" spans="1:5" x14ac:dyDescent="0.25">
      <c r="A202" s="303" t="s">
        <v>300</v>
      </c>
      <c r="B202" s="303"/>
      <c r="C202" s="303"/>
      <c r="D202" s="303"/>
      <c r="E202" s="303"/>
    </row>
    <row r="203" spans="1:5" x14ac:dyDescent="0.25">
      <c r="A203" s="170" t="s">
        <v>301</v>
      </c>
      <c r="B203" s="164"/>
      <c r="C203" s="51"/>
      <c r="D203" s="123">
        <v>73416899.540000007</v>
      </c>
      <c r="E203" s="59">
        <v>0</v>
      </c>
    </row>
    <row r="204" spans="1:5" x14ac:dyDescent="0.25">
      <c r="A204" s="170" t="s">
        <v>302</v>
      </c>
      <c r="B204" s="164"/>
      <c r="C204" s="51"/>
      <c r="D204" s="123">
        <v>7600498.96</v>
      </c>
      <c r="E204" s="59">
        <v>0</v>
      </c>
    </row>
    <row r="205" spans="1:5" x14ac:dyDescent="0.25">
      <c r="A205" s="170" t="s">
        <v>303</v>
      </c>
      <c r="B205" s="170"/>
      <c r="C205" s="51"/>
      <c r="D205" s="123">
        <v>14498982.439999999</v>
      </c>
      <c r="E205" s="59">
        <v>0</v>
      </c>
    </row>
    <row r="206" spans="1:5" x14ac:dyDescent="0.25">
      <c r="A206" s="170" t="s">
        <v>304</v>
      </c>
      <c r="B206" s="170"/>
      <c r="C206" s="51"/>
      <c r="D206" s="123">
        <v>910303.42</v>
      </c>
      <c r="E206" s="59">
        <v>0</v>
      </c>
    </row>
    <row r="207" spans="1:5" x14ac:dyDescent="0.25">
      <c r="A207" s="170" t="s">
        <v>305</v>
      </c>
      <c r="B207" s="170"/>
      <c r="C207" s="51"/>
      <c r="D207" s="123">
        <v>119525692.75</v>
      </c>
      <c r="E207" s="59">
        <v>0</v>
      </c>
    </row>
    <row r="208" spans="1:5" x14ac:dyDescent="0.25">
      <c r="A208" s="170" t="s">
        <v>306</v>
      </c>
      <c r="B208" s="170"/>
      <c r="C208" s="51"/>
      <c r="D208" s="123">
        <v>48853474.840000004</v>
      </c>
      <c r="E208" s="59">
        <v>0</v>
      </c>
    </row>
    <row r="209" spans="1:5" x14ac:dyDescent="0.25">
      <c r="A209" s="170" t="s">
        <v>307</v>
      </c>
      <c r="B209" s="170"/>
      <c r="C209" s="51"/>
      <c r="D209" s="123">
        <v>5170462.16</v>
      </c>
      <c r="E209" s="59">
        <v>0</v>
      </c>
    </row>
    <row r="210" spans="1:5" x14ac:dyDescent="0.25">
      <c r="A210" s="288" t="s">
        <v>308</v>
      </c>
      <c r="B210" s="288"/>
      <c r="C210" s="51"/>
      <c r="D210" s="123">
        <v>287152056.99000001</v>
      </c>
      <c r="E210" s="59">
        <v>0</v>
      </c>
    </row>
    <row r="211" spans="1:5" x14ac:dyDescent="0.25">
      <c r="A211" s="170" t="s">
        <v>309</v>
      </c>
      <c r="B211" s="170"/>
      <c r="C211" s="51"/>
      <c r="D211" s="124">
        <v>103431492.89</v>
      </c>
      <c r="E211" s="213">
        <v>0</v>
      </c>
    </row>
    <row r="212" spans="1:5" ht="15.75" thickBot="1" x14ac:dyDescent="0.3">
      <c r="A212" s="295" t="s">
        <v>77</v>
      </c>
      <c r="B212" s="295"/>
      <c r="C212" s="51"/>
      <c r="D212" s="149">
        <f>SUM(D203:D211)</f>
        <v>660559863.99000001</v>
      </c>
      <c r="E212" s="149">
        <f>SUM(E203:E211)</f>
        <v>0</v>
      </c>
    </row>
    <row r="213" spans="1:5" ht="15.75" thickTop="1" x14ac:dyDescent="0.25">
      <c r="A213" s="31"/>
      <c r="B213" s="31"/>
      <c r="C213" s="31"/>
    </row>
    <row r="214" spans="1:5" x14ac:dyDescent="0.25">
      <c r="A214" s="50" t="s">
        <v>373</v>
      </c>
      <c r="B214" s="51"/>
      <c r="C214" s="51"/>
      <c r="D214" s="67"/>
      <c r="E214" s="32"/>
    </row>
    <row r="215" spans="1:5" x14ac:dyDescent="0.25">
      <c r="A215" s="302" t="s">
        <v>212</v>
      </c>
      <c r="B215" s="302"/>
      <c r="C215" s="302"/>
      <c r="D215" s="302"/>
      <c r="E215" s="302"/>
    </row>
    <row r="216" spans="1:5" x14ac:dyDescent="0.25">
      <c r="A216" s="51" t="s">
        <v>158</v>
      </c>
      <c r="B216" s="51"/>
      <c r="C216" s="51"/>
      <c r="D216" s="65">
        <v>2024</v>
      </c>
      <c r="E216" s="65">
        <v>2023</v>
      </c>
    </row>
    <row r="217" spans="1:5" x14ac:dyDescent="0.25">
      <c r="A217" s="51" t="s">
        <v>157</v>
      </c>
      <c r="B217" s="51"/>
      <c r="C217" s="51"/>
      <c r="D217" s="271">
        <v>226687.83</v>
      </c>
      <c r="E217" s="132">
        <v>266688</v>
      </c>
    </row>
    <row r="218" spans="1:5" x14ac:dyDescent="0.25">
      <c r="A218" s="51" t="s">
        <v>354</v>
      </c>
      <c r="B218" s="51"/>
      <c r="C218" s="51"/>
      <c r="D218" s="271">
        <v>35320577.780000001</v>
      </c>
      <c r="E218" s="67">
        <v>1189268</v>
      </c>
    </row>
    <row r="219" spans="1:5" x14ac:dyDescent="0.25">
      <c r="A219" s="288" t="s">
        <v>376</v>
      </c>
      <c r="B219" s="288"/>
      <c r="C219" s="51"/>
      <c r="D219" s="271">
        <v>13371055.32</v>
      </c>
      <c r="E219" s="132"/>
    </row>
    <row r="220" spans="1:5" x14ac:dyDescent="0.25">
      <c r="A220" s="51" t="s">
        <v>377</v>
      </c>
      <c r="B220" s="51"/>
      <c r="C220" s="51"/>
      <c r="D220" s="271">
        <v>12035363.609999999</v>
      </c>
      <c r="E220" s="132"/>
    </row>
    <row r="221" spans="1:5" x14ac:dyDescent="0.25">
      <c r="A221" s="51" t="s">
        <v>97</v>
      </c>
      <c r="B221" s="51"/>
      <c r="C221" s="51"/>
      <c r="D221" s="124">
        <v>341370.5</v>
      </c>
      <c r="E221" s="58">
        <v>278759.61</v>
      </c>
    </row>
    <row r="222" spans="1:5" ht="15.75" thickBot="1" x14ac:dyDescent="0.3">
      <c r="A222" s="295" t="s">
        <v>77</v>
      </c>
      <c r="B222" s="295"/>
      <c r="C222" s="51"/>
      <c r="D222" s="272">
        <f>SUM(D217:D221)</f>
        <v>61295055.039999999</v>
      </c>
      <c r="E222" s="153">
        <f>SUM(E217:E221)</f>
        <v>1734715.6099999999</v>
      </c>
    </row>
    <row r="223" spans="1:5" ht="15.75" thickTop="1" x14ac:dyDescent="0.25">
      <c r="A223" s="31"/>
      <c r="B223" s="31"/>
      <c r="C223" s="31"/>
      <c r="D223" s="57"/>
      <c r="E223" s="31"/>
    </row>
    <row r="224" spans="1:5" x14ac:dyDescent="0.25">
      <c r="A224" s="30" t="s">
        <v>374</v>
      </c>
      <c r="B224" s="31"/>
      <c r="C224" s="51"/>
      <c r="D224" s="69"/>
      <c r="E224" s="51"/>
    </row>
    <row r="225" spans="1:5" ht="45.75" customHeight="1" x14ac:dyDescent="0.25">
      <c r="A225" s="297" t="s">
        <v>195</v>
      </c>
      <c r="B225" s="297"/>
      <c r="C225" s="297"/>
      <c r="D225" s="297"/>
      <c r="E225" s="297"/>
    </row>
    <row r="226" spans="1:5" x14ac:dyDescent="0.25">
      <c r="A226" s="155" t="s">
        <v>356</v>
      </c>
      <c r="B226" s="30"/>
      <c r="C226" s="31"/>
      <c r="D226" s="54"/>
      <c r="E226" s="32"/>
    </row>
    <row r="227" spans="1:5" x14ac:dyDescent="0.25">
      <c r="A227" s="31"/>
      <c r="B227" s="31"/>
      <c r="C227" s="31"/>
      <c r="D227" s="54"/>
      <c r="E227" s="32"/>
    </row>
    <row r="228" spans="1:5" x14ac:dyDescent="0.25">
      <c r="A228" s="50" t="s">
        <v>375</v>
      </c>
      <c r="B228" s="51"/>
      <c r="C228" s="51"/>
      <c r="D228" s="69"/>
      <c r="E228" s="51"/>
    </row>
    <row r="229" spans="1:5" ht="27.75" customHeight="1" x14ac:dyDescent="0.25">
      <c r="A229" s="302" t="s">
        <v>213</v>
      </c>
      <c r="B229" s="302"/>
      <c r="C229" s="302"/>
      <c r="D229" s="302"/>
      <c r="E229" s="302"/>
    </row>
    <row r="230" spans="1:5" x14ac:dyDescent="0.25">
      <c r="A230" s="50" t="s">
        <v>149</v>
      </c>
      <c r="B230" s="51"/>
      <c r="C230" s="51"/>
      <c r="D230" s="65">
        <v>2024</v>
      </c>
      <c r="E230" s="65">
        <v>2023</v>
      </c>
    </row>
    <row r="231" spans="1:5" x14ac:dyDescent="0.25">
      <c r="A231" s="51" t="s">
        <v>80</v>
      </c>
      <c r="B231" s="51"/>
      <c r="C231" s="51"/>
      <c r="D231" s="216">
        <f>175+475+1370.86+629.45+2837.15+3249.05</f>
        <v>8736.51</v>
      </c>
      <c r="E231" s="216">
        <v>9576.25</v>
      </c>
    </row>
    <row r="232" spans="1:5" x14ac:dyDescent="0.25">
      <c r="A232" t="s">
        <v>351</v>
      </c>
      <c r="D232" s="213">
        <v>0</v>
      </c>
      <c r="E232" s="213">
        <v>13199.57</v>
      </c>
    </row>
    <row r="233" spans="1:5" ht="15.75" thickBot="1" x14ac:dyDescent="0.3">
      <c r="A233" s="295" t="s">
        <v>77</v>
      </c>
      <c r="B233" s="295"/>
      <c r="C233" s="51"/>
      <c r="D233" s="153">
        <f>SUM(D231)</f>
        <v>8736.51</v>
      </c>
      <c r="E233" s="153">
        <f>SUM(E231:E232)</f>
        <v>22775.82</v>
      </c>
    </row>
    <row r="234" spans="1:5" ht="14.25" customHeight="1" thickTop="1" x14ac:dyDescent="0.25">
      <c r="A234" s="51"/>
      <c r="B234" s="51"/>
      <c r="C234" s="51"/>
      <c r="D234" s="69"/>
      <c r="E234" s="51"/>
    </row>
    <row r="235" spans="1:5" ht="14.25" customHeight="1" x14ac:dyDescent="0.25">
      <c r="A235" s="31"/>
      <c r="B235" s="31"/>
      <c r="C235" s="31"/>
      <c r="D235" s="57"/>
      <c r="E235" s="31"/>
    </row>
    <row r="236" spans="1:5" ht="14.25" customHeight="1" x14ac:dyDescent="0.25">
      <c r="A236" s="31"/>
      <c r="B236" s="31"/>
      <c r="C236" s="31"/>
      <c r="D236" s="57"/>
      <c r="E236" s="31"/>
    </row>
    <row r="237" spans="1:5" ht="14.25" customHeight="1" x14ac:dyDescent="0.25">
      <c r="A237" s="31"/>
      <c r="B237" s="31"/>
      <c r="C237" s="31"/>
      <c r="D237" s="57"/>
      <c r="E237" s="31"/>
    </row>
    <row r="240" spans="1:5" ht="18.75" x14ac:dyDescent="0.3">
      <c r="A240" s="19"/>
      <c r="B240" s="21"/>
      <c r="C240" s="6"/>
      <c r="D240" s="267"/>
      <c r="E240" s="6"/>
    </row>
    <row r="241" spans="1:5" ht="15.75" customHeight="1" x14ac:dyDescent="0.25">
      <c r="A241" s="312"/>
      <c r="B241" s="312"/>
      <c r="D241" s="312"/>
      <c r="E241" s="312"/>
    </row>
    <row r="242" spans="1:5" ht="18.75" x14ac:dyDescent="0.3">
      <c r="A242" s="6"/>
      <c r="B242" s="21"/>
      <c r="C242" s="6"/>
      <c r="D242" s="267"/>
      <c r="E242" s="6"/>
    </row>
    <row r="243" spans="1:5" ht="18.75" x14ac:dyDescent="0.3">
      <c r="A243" s="6"/>
      <c r="B243" s="21"/>
      <c r="C243" s="6"/>
      <c r="D243" s="267"/>
      <c r="E243" s="6"/>
    </row>
    <row r="244" spans="1:5" ht="18.75" x14ac:dyDescent="0.3">
      <c r="A244" s="6"/>
      <c r="B244" s="21"/>
      <c r="C244" s="6"/>
      <c r="D244" s="267"/>
      <c r="E244" s="6"/>
    </row>
    <row r="245" spans="1:5" ht="18.75" x14ac:dyDescent="0.3">
      <c r="A245" s="311"/>
      <c r="B245" s="311"/>
      <c r="C245" s="21"/>
      <c r="D245" s="268"/>
      <c r="E245" s="21"/>
    </row>
    <row r="246" spans="1:5" ht="18.75" customHeight="1" x14ac:dyDescent="0.25">
      <c r="A246" s="311"/>
      <c r="B246" s="311"/>
      <c r="D246" s="311"/>
      <c r="E246" s="311"/>
    </row>
    <row r="247" spans="1:5" ht="18.75" x14ac:dyDescent="0.3">
      <c r="A247" s="21"/>
      <c r="B247" s="21"/>
      <c r="C247" s="21"/>
      <c r="D247" s="268"/>
      <c r="E247" s="21"/>
    </row>
    <row r="248" spans="1:5" ht="18.75" x14ac:dyDescent="0.3">
      <c r="A248" s="21"/>
      <c r="B248" s="21"/>
      <c r="C248" s="21"/>
      <c r="D248" s="268"/>
      <c r="E248" s="21"/>
    </row>
    <row r="249" spans="1:5" ht="18.75" x14ac:dyDescent="0.3">
      <c r="A249" s="21"/>
      <c r="B249" s="21"/>
      <c r="C249" s="21"/>
      <c r="D249" s="268"/>
      <c r="E249" s="21"/>
    </row>
  </sheetData>
  <mergeCells count="125">
    <mergeCell ref="D246:E246"/>
    <mergeCell ref="D241:E241"/>
    <mergeCell ref="A245:B245"/>
    <mergeCell ref="A246:B246"/>
    <mergeCell ref="A11:E11"/>
    <mergeCell ref="A12:E12"/>
    <mergeCell ref="A13:E13"/>
    <mergeCell ref="A14:E14"/>
    <mergeCell ref="A15:E15"/>
    <mergeCell ref="A16:E16"/>
    <mergeCell ref="A17:E17"/>
    <mergeCell ref="A18:E18"/>
    <mergeCell ref="A19:E19"/>
    <mergeCell ref="A25:E25"/>
    <mergeCell ref="A26:E26"/>
    <mergeCell ref="A29:E29"/>
    <mergeCell ref="A31:E31"/>
    <mergeCell ref="A33:E33"/>
    <mergeCell ref="A35:E35"/>
    <mergeCell ref="A148:B148"/>
    <mergeCell ref="A154:D154"/>
    <mergeCell ref="A158:B158"/>
    <mergeCell ref="A202:E202"/>
    <mergeCell ref="A241:B241"/>
    <mergeCell ref="A10:D10"/>
    <mergeCell ref="A50:D50"/>
    <mergeCell ref="A6:E6"/>
    <mergeCell ref="A7:E7"/>
    <mergeCell ref="A8:E8"/>
    <mergeCell ref="A9:E9"/>
    <mergeCell ref="A49:E49"/>
    <mergeCell ref="A123:D123"/>
    <mergeCell ref="A140:B140"/>
    <mergeCell ref="A133:B133"/>
    <mergeCell ref="A126:B126"/>
    <mergeCell ref="A130:D130"/>
    <mergeCell ref="A137:D137"/>
    <mergeCell ref="A66:E66"/>
    <mergeCell ref="A100:D100"/>
    <mergeCell ref="A108:E108"/>
    <mergeCell ref="A99:E99"/>
    <mergeCell ref="A95:E95"/>
    <mergeCell ref="A20:D20"/>
    <mergeCell ref="A21:D21"/>
    <mergeCell ref="A22:D22"/>
    <mergeCell ref="A24:D24"/>
    <mergeCell ref="A32:D32"/>
    <mergeCell ref="A34:D34"/>
    <mergeCell ref="A129:E129"/>
    <mergeCell ref="A122:E122"/>
    <mergeCell ref="A67:D67"/>
    <mergeCell ref="A74:B74"/>
    <mergeCell ref="A63:B63"/>
    <mergeCell ref="A85:E85"/>
    <mergeCell ref="A77:E77"/>
    <mergeCell ref="A114:E114"/>
    <mergeCell ref="A233:B233"/>
    <mergeCell ref="A199:B199"/>
    <mergeCell ref="A222:B222"/>
    <mergeCell ref="A190:B190"/>
    <mergeCell ref="A229:E229"/>
    <mergeCell ref="A225:E225"/>
    <mergeCell ref="A163:B163"/>
    <mergeCell ref="A164:B164"/>
    <mergeCell ref="A171:B171"/>
    <mergeCell ref="A178:B178"/>
    <mergeCell ref="A185:E185"/>
    <mergeCell ref="A215:E215"/>
    <mergeCell ref="A188:E188"/>
    <mergeCell ref="A189:E189"/>
    <mergeCell ref="A181:B181"/>
    <mergeCell ref="A182:B182"/>
    <mergeCell ref="A53:C53"/>
    <mergeCell ref="A72:C72"/>
    <mergeCell ref="A71:C71"/>
    <mergeCell ref="A70:C70"/>
    <mergeCell ref="A69:C69"/>
    <mergeCell ref="A73:C73"/>
    <mergeCell ref="A91:B91"/>
    <mergeCell ref="A111:B111"/>
    <mergeCell ref="A105:B105"/>
    <mergeCell ref="A92:B92"/>
    <mergeCell ref="A82:B82"/>
    <mergeCell ref="A195:B195"/>
    <mergeCell ref="A197:B197"/>
    <mergeCell ref="A194:B194"/>
    <mergeCell ref="A196:B196"/>
    <mergeCell ref="A162:E162"/>
    <mergeCell ref="A161:E161"/>
    <mergeCell ref="A153:E153"/>
    <mergeCell ref="A143:E143"/>
    <mergeCell ref="A136:E136"/>
    <mergeCell ref="A139:C139"/>
    <mergeCell ref="A165:B165"/>
    <mergeCell ref="A166:B166"/>
    <mergeCell ref="A167:B167"/>
    <mergeCell ref="A168:B168"/>
    <mergeCell ref="A170:B170"/>
    <mergeCell ref="A172:B172"/>
    <mergeCell ref="A175:B175"/>
    <mergeCell ref="A176:B176"/>
    <mergeCell ref="A219:B219"/>
    <mergeCell ref="A36:D36"/>
    <mergeCell ref="A28:D28"/>
    <mergeCell ref="A30:D30"/>
    <mergeCell ref="A42:D42"/>
    <mergeCell ref="A43:D43"/>
    <mergeCell ref="A44:D44"/>
    <mergeCell ref="A45:D45"/>
    <mergeCell ref="A46:D46"/>
    <mergeCell ref="A37:D37"/>
    <mergeCell ref="A38:D38"/>
    <mergeCell ref="A39:D39"/>
    <mergeCell ref="A40:D40"/>
    <mergeCell ref="A41:D41"/>
    <mergeCell ref="A177:B177"/>
    <mergeCell ref="A179:B179"/>
    <mergeCell ref="A180:B180"/>
    <mergeCell ref="A198:B198"/>
    <mergeCell ref="A201:B201"/>
    <mergeCell ref="A210:B210"/>
    <mergeCell ref="A212:B212"/>
    <mergeCell ref="A191:B191"/>
    <mergeCell ref="A192:B192"/>
    <mergeCell ref="A193:B193"/>
  </mergeCells>
  <phoneticPr fontId="30" type="noConversion"/>
  <pageMargins left="0.70866141732283472" right="0.70866141732283472" top="0.74803149606299213" bottom="0.74803149606299213" header="0.31496062992125984" footer="0.31496062992125984"/>
  <pageSetup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6:L36"/>
  <sheetViews>
    <sheetView topLeftCell="A20" zoomScale="106" zoomScaleNormal="106" workbookViewId="0">
      <selection activeCell="A3" sqref="A3"/>
    </sheetView>
  </sheetViews>
  <sheetFormatPr baseColWidth="10" defaultRowHeight="15" x14ac:dyDescent="0.25"/>
  <cols>
    <col min="1" max="1" width="18.7109375" customWidth="1"/>
    <col min="2" max="2" width="17.28515625" style="92" customWidth="1"/>
    <col min="3" max="3" width="19.28515625" customWidth="1"/>
    <col min="4" max="5" width="16.28515625" bestFit="1" customWidth="1"/>
    <col min="6" max="6" width="11.28515625" customWidth="1"/>
    <col min="7" max="7" width="13.5703125" style="74" customWidth="1"/>
    <col min="8" max="9" width="11.42578125" style="74"/>
    <col min="10" max="10" width="15.7109375" customWidth="1"/>
    <col min="11" max="11" width="15.140625" customWidth="1"/>
    <col min="12" max="12" width="16.5703125" customWidth="1"/>
    <col min="13" max="13" width="13.140625" bestFit="1" customWidth="1"/>
  </cols>
  <sheetData>
    <row r="6" spans="1:12" ht="18.75" x14ac:dyDescent="0.3">
      <c r="A6" s="138" t="s">
        <v>151</v>
      </c>
      <c r="B6" s="139"/>
      <c r="C6" s="140"/>
    </row>
    <row r="7" spans="1:12" ht="18.75" x14ac:dyDescent="0.3">
      <c r="A7" s="72" t="s">
        <v>231</v>
      </c>
    </row>
    <row r="8" spans="1:12" ht="18.75" x14ac:dyDescent="0.3">
      <c r="A8" s="72" t="s">
        <v>121</v>
      </c>
    </row>
    <row r="9" spans="1:12" ht="36" x14ac:dyDescent="0.25">
      <c r="A9" s="73" t="s">
        <v>108</v>
      </c>
      <c r="B9" s="73" t="s">
        <v>109</v>
      </c>
      <c r="C9" s="73" t="s">
        <v>110</v>
      </c>
      <c r="D9" s="73" t="s">
        <v>111</v>
      </c>
      <c r="E9" s="73" t="s">
        <v>112</v>
      </c>
      <c r="F9" s="73" t="s">
        <v>113</v>
      </c>
      <c r="G9" s="73" t="s">
        <v>138</v>
      </c>
      <c r="H9" s="73" t="s">
        <v>122</v>
      </c>
      <c r="I9" s="77" t="s">
        <v>123</v>
      </c>
      <c r="J9" s="77" t="s">
        <v>124</v>
      </c>
      <c r="K9" s="77" t="s">
        <v>126</v>
      </c>
    </row>
    <row r="10" spans="1:12" ht="36" x14ac:dyDescent="0.25">
      <c r="A10" s="183" t="s">
        <v>114</v>
      </c>
      <c r="B10" s="93" t="s">
        <v>119</v>
      </c>
      <c r="C10" s="70" t="s">
        <v>120</v>
      </c>
      <c r="D10" s="71">
        <v>1778697.6</v>
      </c>
      <c r="E10" s="71">
        <f>D10</f>
        <v>1778697.6</v>
      </c>
      <c r="F10" s="71">
        <f>D10-E10</f>
        <v>0</v>
      </c>
      <c r="G10" s="85" t="s">
        <v>232</v>
      </c>
      <c r="H10" s="75">
        <v>45130</v>
      </c>
      <c r="I10" s="75">
        <v>45496</v>
      </c>
      <c r="J10" s="75">
        <v>45473</v>
      </c>
      <c r="K10" s="76">
        <f>(162+31+29+31+30+31+30)*(E10/365)</f>
        <v>1676361.5736986303</v>
      </c>
    </row>
    <row r="11" spans="1:12" ht="36" x14ac:dyDescent="0.25">
      <c r="A11" s="183" t="s">
        <v>114</v>
      </c>
      <c r="B11" s="93" t="s">
        <v>233</v>
      </c>
      <c r="C11" s="70" t="s">
        <v>120</v>
      </c>
      <c r="D11" s="71">
        <v>475765.26</v>
      </c>
      <c r="E11" s="71">
        <v>475765.26</v>
      </c>
      <c r="F11" s="71"/>
      <c r="G11" s="85" t="s">
        <v>234</v>
      </c>
      <c r="H11" s="75">
        <v>45258</v>
      </c>
      <c r="I11" s="75">
        <v>45496</v>
      </c>
      <c r="J11" s="75">
        <v>45473</v>
      </c>
      <c r="K11" s="76">
        <f>((34+31+29+31+30+31+30)*(E11/365))</f>
        <v>281548.75660273974</v>
      </c>
    </row>
    <row r="12" spans="1:12" x14ac:dyDescent="0.25">
      <c r="A12" s="183" t="s">
        <v>114</v>
      </c>
      <c r="B12" s="93" t="s">
        <v>235</v>
      </c>
      <c r="C12" s="70" t="s">
        <v>236</v>
      </c>
      <c r="D12" s="71">
        <v>23200</v>
      </c>
      <c r="E12" s="71">
        <v>23200</v>
      </c>
      <c r="F12" s="71"/>
      <c r="G12" s="85" t="s">
        <v>232</v>
      </c>
      <c r="H12" s="75">
        <v>45130</v>
      </c>
      <c r="I12" s="75">
        <v>45496</v>
      </c>
      <c r="J12" s="75">
        <v>45473</v>
      </c>
      <c r="K12" s="76">
        <f>(162+31+29+31+30+31)*(E12/365)</f>
        <v>19958.35616438356</v>
      </c>
    </row>
    <row r="13" spans="1:12" ht="36" x14ac:dyDescent="0.25">
      <c r="A13" s="183" t="s">
        <v>114</v>
      </c>
      <c r="B13" s="93" t="s">
        <v>117</v>
      </c>
      <c r="C13" s="70" t="s">
        <v>118</v>
      </c>
      <c r="D13" s="71">
        <v>2487.58</v>
      </c>
      <c r="E13" s="71">
        <v>2487.58</v>
      </c>
      <c r="F13" s="71">
        <f>D13-E13</f>
        <v>0</v>
      </c>
      <c r="G13" s="85" t="s">
        <v>237</v>
      </c>
      <c r="H13" s="75">
        <v>45344</v>
      </c>
      <c r="I13" s="75">
        <v>45461</v>
      </c>
      <c r="J13" s="75">
        <v>45473</v>
      </c>
      <c r="K13" s="76">
        <f>(8+31+30+31+30)*(D13/130)</f>
        <v>2487.58</v>
      </c>
    </row>
    <row r="14" spans="1:12" ht="24" x14ac:dyDescent="0.25">
      <c r="A14" s="183" t="s">
        <v>114</v>
      </c>
      <c r="B14" s="93" t="s">
        <v>115</v>
      </c>
      <c r="C14" s="70" t="s">
        <v>116</v>
      </c>
      <c r="D14" s="71">
        <v>8352913.8399999999</v>
      </c>
      <c r="E14" s="71">
        <v>8352913.8399999999</v>
      </c>
      <c r="F14" s="71"/>
      <c r="G14" s="85" t="s">
        <v>262</v>
      </c>
      <c r="H14" s="75">
        <v>45461</v>
      </c>
      <c r="I14" s="75">
        <v>45826</v>
      </c>
      <c r="J14" s="75">
        <v>45472</v>
      </c>
      <c r="K14" s="76">
        <f>12*(D14/365)</f>
        <v>274616.34542465757</v>
      </c>
      <c r="L14" s="187"/>
    </row>
    <row r="15" spans="1:12" ht="24" x14ac:dyDescent="0.25">
      <c r="A15" s="183" t="s">
        <v>114</v>
      </c>
      <c r="B15" s="93" t="s">
        <v>115</v>
      </c>
      <c r="C15" s="70" t="s">
        <v>116</v>
      </c>
      <c r="D15" s="71">
        <v>89208.63</v>
      </c>
      <c r="E15" s="71">
        <v>89208.63</v>
      </c>
      <c r="F15" s="71"/>
      <c r="G15" s="85" t="s">
        <v>237</v>
      </c>
      <c r="H15" s="75">
        <v>45344</v>
      </c>
      <c r="I15" s="75">
        <v>45461</v>
      </c>
      <c r="J15" s="75">
        <v>45473</v>
      </c>
      <c r="K15" s="76">
        <f>(8+31+30+31+30)*(D15/130)</f>
        <v>89208.63</v>
      </c>
    </row>
    <row r="16" spans="1:12" x14ac:dyDescent="0.25">
      <c r="A16" s="79"/>
      <c r="B16" s="94"/>
      <c r="C16" s="79"/>
      <c r="D16" s="80">
        <f>SUM(D10:D15)</f>
        <v>10722272.910000002</v>
      </c>
      <c r="E16" s="80">
        <f>SUM(E10:E15)</f>
        <v>10722272.910000002</v>
      </c>
      <c r="F16" s="80">
        <f>SUM(F10:F15)</f>
        <v>0</v>
      </c>
      <c r="G16" s="81"/>
      <c r="H16" s="81"/>
      <c r="I16" s="81"/>
      <c r="J16" s="79"/>
      <c r="K16" s="82">
        <f>SUM(K10:K15)</f>
        <v>2344181.2418904109</v>
      </c>
    </row>
    <row r="18" spans="1:12" ht="18.75" x14ac:dyDescent="0.3">
      <c r="A18" s="72" t="s">
        <v>185</v>
      </c>
    </row>
    <row r="19" spans="1:12" ht="36" x14ac:dyDescent="0.25">
      <c r="A19" s="73" t="s">
        <v>127</v>
      </c>
      <c r="B19" s="73" t="s">
        <v>128</v>
      </c>
      <c r="C19" s="73" t="s">
        <v>129</v>
      </c>
      <c r="D19" s="73" t="s">
        <v>130</v>
      </c>
      <c r="E19" s="73" t="s">
        <v>112</v>
      </c>
      <c r="F19" s="73" t="s">
        <v>113</v>
      </c>
      <c r="G19" s="73" t="s">
        <v>138</v>
      </c>
      <c r="H19" s="73" t="s">
        <v>140</v>
      </c>
      <c r="I19" s="77" t="s">
        <v>123</v>
      </c>
      <c r="J19" s="77" t="s">
        <v>124</v>
      </c>
      <c r="K19" s="77" t="s">
        <v>125</v>
      </c>
      <c r="L19" s="96" t="s">
        <v>126</v>
      </c>
    </row>
    <row r="20" spans="1:12" ht="24" x14ac:dyDescent="0.25">
      <c r="A20" s="83" t="s">
        <v>238</v>
      </c>
      <c r="B20" s="84" t="s">
        <v>239</v>
      </c>
      <c r="C20" s="83" t="s">
        <v>240</v>
      </c>
      <c r="D20" s="71">
        <v>5733.04</v>
      </c>
      <c r="E20" s="71">
        <v>5733.04</v>
      </c>
      <c r="F20" s="71"/>
      <c r="G20" s="86" t="s">
        <v>241</v>
      </c>
      <c r="H20" s="184">
        <v>45269</v>
      </c>
      <c r="I20" s="185">
        <v>45635</v>
      </c>
      <c r="J20" s="75">
        <v>45473</v>
      </c>
      <c r="K20" s="89">
        <f>(31-9+31+29+31+30+31)*(D20/365)</f>
        <v>2733.0108493150683</v>
      </c>
      <c r="L20" s="89">
        <f t="shared" ref="L20:L25" si="0">30*(E20/365)</f>
        <v>471.20876712328766</v>
      </c>
    </row>
    <row r="21" spans="1:12" ht="24" x14ac:dyDescent="0.25">
      <c r="A21" s="83" t="s">
        <v>242</v>
      </c>
      <c r="B21" s="84" t="s">
        <v>243</v>
      </c>
      <c r="C21" s="83" t="s">
        <v>131</v>
      </c>
      <c r="D21" s="71">
        <v>1024962.29</v>
      </c>
      <c r="E21" s="71">
        <v>1024962.29</v>
      </c>
      <c r="F21" s="71"/>
      <c r="G21" s="86" t="s">
        <v>244</v>
      </c>
      <c r="H21" s="184">
        <v>45170</v>
      </c>
      <c r="I21" s="185">
        <v>45504</v>
      </c>
      <c r="J21" s="75">
        <v>45473</v>
      </c>
      <c r="K21" s="89">
        <f>(30+31+30+31+31+29+31+30+31)*(D21/365)</f>
        <v>769423.74646575341</v>
      </c>
      <c r="L21" s="89">
        <f t="shared" si="0"/>
        <v>84243.475890410962</v>
      </c>
    </row>
    <row r="22" spans="1:12" ht="24.75" x14ac:dyDescent="0.25">
      <c r="A22" s="99" t="s">
        <v>135</v>
      </c>
      <c r="B22" s="100" t="s">
        <v>136</v>
      </c>
      <c r="C22" s="70" t="s">
        <v>137</v>
      </c>
      <c r="D22" s="71">
        <v>357600</v>
      </c>
      <c r="E22" s="71">
        <f>D22</f>
        <v>357600</v>
      </c>
      <c r="F22" s="71">
        <f>D22-E22</f>
        <v>0</v>
      </c>
      <c r="G22" s="88" t="s">
        <v>246</v>
      </c>
      <c r="H22" s="75">
        <v>45139</v>
      </c>
      <c r="I22" s="186">
        <v>45504</v>
      </c>
      <c r="J22" s="75">
        <v>45473</v>
      </c>
      <c r="K22" s="89">
        <f>(122+31+31+29+31+30+31)*(D22/365)</f>
        <v>298816.43835616438</v>
      </c>
      <c r="L22" s="89">
        <f t="shared" si="0"/>
        <v>29391.780821917808</v>
      </c>
    </row>
    <row r="23" spans="1:12" ht="48" x14ac:dyDescent="0.25">
      <c r="A23" s="192" t="s">
        <v>263</v>
      </c>
      <c r="B23" s="191" t="s">
        <v>264</v>
      </c>
      <c r="C23" s="70" t="s">
        <v>266</v>
      </c>
      <c r="D23" s="71">
        <v>84592.24</v>
      </c>
      <c r="E23" s="71">
        <f t="shared" ref="E23:E29" si="1">+D23</f>
        <v>84592.24</v>
      </c>
      <c r="F23" s="71"/>
      <c r="G23" s="88" t="s">
        <v>265</v>
      </c>
      <c r="H23" s="75">
        <v>45323</v>
      </c>
      <c r="I23" s="75">
        <v>45688</v>
      </c>
      <c r="J23" s="75">
        <v>45473</v>
      </c>
      <c r="K23" s="89">
        <f>(29+31+30+31)*(D23/365)</f>
        <v>28042.906958904114</v>
      </c>
      <c r="L23" s="188">
        <f t="shared" si="0"/>
        <v>6952.786849315069</v>
      </c>
    </row>
    <row r="24" spans="1:12" ht="24.75" x14ac:dyDescent="0.25">
      <c r="A24" s="99" t="s">
        <v>267</v>
      </c>
      <c r="B24" s="100" t="s">
        <v>269</v>
      </c>
      <c r="C24" s="70" t="s">
        <v>268</v>
      </c>
      <c r="D24" s="71">
        <f>1281*58.85</f>
        <v>75386.850000000006</v>
      </c>
      <c r="E24" s="71">
        <f t="shared" si="1"/>
        <v>75386.850000000006</v>
      </c>
      <c r="F24" s="71"/>
      <c r="G24" s="88" t="s">
        <v>245</v>
      </c>
      <c r="H24" s="75">
        <v>45337</v>
      </c>
      <c r="I24" s="75">
        <v>45337</v>
      </c>
      <c r="J24" s="75">
        <v>45473</v>
      </c>
      <c r="K24" s="89">
        <f>(14+31+30+31)*(D24/365)</f>
        <v>21893.167397260273</v>
      </c>
      <c r="L24" s="188">
        <f t="shared" si="0"/>
        <v>6196.1794520547946</v>
      </c>
    </row>
    <row r="25" spans="1:12" ht="24.75" x14ac:dyDescent="0.25">
      <c r="A25" s="99" t="s">
        <v>270</v>
      </c>
      <c r="B25" s="100" t="s">
        <v>271</v>
      </c>
      <c r="C25" s="70" t="s">
        <v>272</v>
      </c>
      <c r="D25" s="71">
        <f>(2199.99*58.85)+14.97</f>
        <v>129484.38149999999</v>
      </c>
      <c r="E25" s="71">
        <f t="shared" si="1"/>
        <v>129484.38149999999</v>
      </c>
      <c r="F25" s="71"/>
      <c r="G25" s="88" t="s">
        <v>245</v>
      </c>
      <c r="H25" s="75">
        <v>45337</v>
      </c>
      <c r="I25" s="75">
        <v>45703</v>
      </c>
      <c r="J25" s="75">
        <v>45473</v>
      </c>
      <c r="K25" s="89">
        <f>(14+31+30+31)*(D25/365)</f>
        <v>37603.683394520544</v>
      </c>
      <c r="L25" s="188">
        <f t="shared" si="0"/>
        <v>10642.551904109589</v>
      </c>
    </row>
    <row r="26" spans="1:12" ht="36.75" x14ac:dyDescent="0.25">
      <c r="A26" s="192" t="s">
        <v>276</v>
      </c>
      <c r="B26" s="100" t="s">
        <v>274</v>
      </c>
      <c r="C26" s="70" t="s">
        <v>273</v>
      </c>
      <c r="D26" s="71">
        <v>1245.44</v>
      </c>
      <c r="E26" s="71">
        <f t="shared" si="1"/>
        <v>1245.44</v>
      </c>
      <c r="F26" s="71"/>
      <c r="G26" s="88" t="s">
        <v>275</v>
      </c>
      <c r="H26" s="75">
        <v>45357</v>
      </c>
      <c r="I26" s="75">
        <v>45418</v>
      </c>
      <c r="J26" s="75">
        <v>45473</v>
      </c>
      <c r="K26" s="89">
        <f>(25+30)*(D26/55)</f>
        <v>1245.44</v>
      </c>
      <c r="L26" s="188">
        <v>0</v>
      </c>
    </row>
    <row r="27" spans="1:12" ht="48.75" x14ac:dyDescent="0.25">
      <c r="A27" s="192" t="s">
        <v>277</v>
      </c>
      <c r="B27" s="100" t="s">
        <v>278</v>
      </c>
      <c r="C27" s="70" t="s">
        <v>280</v>
      </c>
      <c r="D27" s="71">
        <v>3894070.04</v>
      </c>
      <c r="E27" s="71">
        <f t="shared" si="1"/>
        <v>3894070.04</v>
      </c>
      <c r="F27" s="71"/>
      <c r="G27" s="88" t="s">
        <v>284</v>
      </c>
      <c r="H27" s="189">
        <v>45330</v>
      </c>
      <c r="I27" s="75">
        <v>45696</v>
      </c>
      <c r="J27" s="190">
        <v>45473</v>
      </c>
      <c r="K27" s="89">
        <f>(21+31+30+31)*(E27/365)</f>
        <v>1205561.4096438356</v>
      </c>
      <c r="L27" s="188">
        <f>30*(E27/365)</f>
        <v>320060.55123287672</v>
      </c>
    </row>
    <row r="28" spans="1:12" x14ac:dyDescent="0.25">
      <c r="A28" s="192" t="s">
        <v>285</v>
      </c>
      <c r="B28" s="100" t="s">
        <v>286</v>
      </c>
      <c r="C28" s="70" t="s">
        <v>287</v>
      </c>
      <c r="D28" s="71">
        <v>32181.73</v>
      </c>
      <c r="E28" s="71">
        <f t="shared" si="1"/>
        <v>32181.73</v>
      </c>
      <c r="F28" s="71"/>
      <c r="G28" s="88" t="s">
        <v>288</v>
      </c>
      <c r="H28" s="189">
        <v>45428</v>
      </c>
      <c r="I28" s="75">
        <v>45793</v>
      </c>
      <c r="J28" s="190">
        <v>45473</v>
      </c>
      <c r="K28" s="89">
        <f>(15)*(E28/365)</f>
        <v>1322.5368493150684</v>
      </c>
      <c r="L28" s="188">
        <f>30*(E28/365)</f>
        <v>2645.0736986301367</v>
      </c>
    </row>
    <row r="29" spans="1:12" ht="36" x14ac:dyDescent="0.25">
      <c r="A29" s="99" t="s">
        <v>283</v>
      </c>
      <c r="B29" s="100" t="s">
        <v>282</v>
      </c>
      <c r="C29" s="70" t="s">
        <v>281</v>
      </c>
      <c r="D29" s="71">
        <v>148905.99</v>
      </c>
      <c r="E29" s="71">
        <f t="shared" si="1"/>
        <v>148905.99</v>
      </c>
      <c r="F29" s="71"/>
      <c r="G29" s="88" t="s">
        <v>279</v>
      </c>
      <c r="H29" s="189">
        <v>45330</v>
      </c>
      <c r="I29" s="75">
        <v>45696</v>
      </c>
      <c r="J29" s="190">
        <v>45473</v>
      </c>
      <c r="K29" s="89">
        <f>(21+31+30+31)*(E29/365)</f>
        <v>46099.662657534245</v>
      </c>
      <c r="L29" s="188">
        <f>30*(E29/365)</f>
        <v>12238.848493150685</v>
      </c>
    </row>
    <row r="30" spans="1:12" ht="24" x14ac:dyDescent="0.25">
      <c r="A30" s="83" t="s">
        <v>132</v>
      </c>
      <c r="B30" s="84" t="s">
        <v>133</v>
      </c>
      <c r="C30" s="83" t="s">
        <v>134</v>
      </c>
      <c r="D30" s="71">
        <v>181665</v>
      </c>
      <c r="E30" s="71">
        <f>D30</f>
        <v>181665</v>
      </c>
      <c r="F30" s="71">
        <f>D30-E30</f>
        <v>0</v>
      </c>
      <c r="G30" s="87" t="s">
        <v>139</v>
      </c>
      <c r="H30" s="314" t="s">
        <v>141</v>
      </c>
      <c r="I30" s="315"/>
      <c r="J30" s="315"/>
      <c r="K30" s="315"/>
      <c r="L30" s="316"/>
    </row>
    <row r="31" spans="1:12" x14ac:dyDescent="0.25">
      <c r="A31" s="78"/>
      <c r="B31" s="95"/>
      <c r="C31" s="78"/>
      <c r="D31" s="90">
        <f>SUM(D20:D30)</f>
        <v>5935827.0015000012</v>
      </c>
      <c r="E31" s="90">
        <f>SUM(E20:E30)</f>
        <v>5935827.0015000012</v>
      </c>
      <c r="F31" s="90"/>
      <c r="G31" s="91"/>
      <c r="H31" s="91"/>
      <c r="I31" s="91"/>
      <c r="J31" s="90"/>
      <c r="K31" s="98">
        <f>SUM(K20:K30)</f>
        <v>2412742.0025726031</v>
      </c>
      <c r="L31" s="98">
        <f>SUM(L20:L30)</f>
        <v>472842.45710958907</v>
      </c>
    </row>
    <row r="32" spans="1:12" x14ac:dyDescent="0.25">
      <c r="L32" s="97"/>
    </row>
    <row r="33" spans="5:12" x14ac:dyDescent="0.25">
      <c r="L33" s="97"/>
    </row>
    <row r="34" spans="5:12" x14ac:dyDescent="0.25">
      <c r="E34" s="122"/>
    </row>
    <row r="35" spans="5:12" x14ac:dyDescent="0.25">
      <c r="E35" s="59"/>
    </row>
    <row r="36" spans="5:12" x14ac:dyDescent="0.25">
      <c r="E36" s="122"/>
    </row>
  </sheetData>
  <mergeCells count="1">
    <mergeCell ref="H30:L30"/>
  </mergeCells>
  <pageMargins left="0.7" right="0.7" top="0.75" bottom="0.75" header="0.3" footer="0.3"/>
  <pageSetup scale="68"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J31"/>
  <sheetViews>
    <sheetView topLeftCell="A15" zoomScale="115" zoomScaleNormal="115" workbookViewId="0">
      <selection activeCell="A26" sqref="A26:I26"/>
    </sheetView>
  </sheetViews>
  <sheetFormatPr baseColWidth="10" defaultRowHeight="15" x14ac:dyDescent="0.25"/>
  <cols>
    <col min="1" max="1" width="32.5703125" customWidth="1"/>
    <col min="2" max="2" width="22.85546875" customWidth="1"/>
    <col min="3" max="3" width="16" customWidth="1"/>
    <col min="4" max="4" width="14.7109375" customWidth="1"/>
    <col min="5" max="5" width="21.5703125" customWidth="1"/>
    <col min="6" max="6" width="19.85546875" customWidth="1"/>
    <col min="7" max="7" width="21" customWidth="1"/>
    <col min="8" max="8" width="17.140625" customWidth="1"/>
    <col min="9" max="9" width="23.140625" customWidth="1"/>
    <col min="10" max="10" width="16.85546875" bestFit="1" customWidth="1"/>
  </cols>
  <sheetData>
    <row r="4" spans="1:10" ht="15.75" customHeight="1" x14ac:dyDescent="0.25"/>
    <row r="6" spans="1:10" ht="21" x14ac:dyDescent="0.35">
      <c r="A6" s="118" t="s">
        <v>144</v>
      </c>
      <c r="B6" s="31"/>
      <c r="C6" s="31"/>
      <c r="D6" s="31"/>
      <c r="E6" s="31"/>
      <c r="F6" s="31"/>
      <c r="G6" s="31"/>
      <c r="H6" s="31"/>
      <c r="I6" s="31"/>
    </row>
    <row r="7" spans="1:10" ht="15.75" x14ac:dyDescent="0.25">
      <c r="A7" s="154" t="s">
        <v>194</v>
      </c>
      <c r="B7" s="31"/>
      <c r="C7" s="31"/>
      <c r="D7" s="31"/>
      <c r="E7" s="31"/>
      <c r="F7" s="31"/>
      <c r="G7" s="31"/>
      <c r="H7" s="31"/>
      <c r="I7" s="31"/>
    </row>
    <row r="8" spans="1:10" ht="37.5" customHeight="1" x14ac:dyDescent="0.25">
      <c r="A8" s="119"/>
      <c r="B8" s="120" t="s">
        <v>96</v>
      </c>
      <c r="C8" s="121" t="s">
        <v>68</v>
      </c>
      <c r="D8" s="121" t="s">
        <v>67</v>
      </c>
      <c r="E8" s="121" t="s">
        <v>87</v>
      </c>
      <c r="F8" s="121" t="s">
        <v>86</v>
      </c>
      <c r="G8" s="121" t="s">
        <v>88</v>
      </c>
      <c r="H8" s="121" t="s">
        <v>89</v>
      </c>
      <c r="I8" s="120" t="s">
        <v>79</v>
      </c>
    </row>
    <row r="9" spans="1:10" x14ac:dyDescent="0.25">
      <c r="A9" s="102" t="s">
        <v>349</v>
      </c>
      <c r="B9" s="171">
        <v>23000000</v>
      </c>
      <c r="C9" s="103">
        <v>0</v>
      </c>
      <c r="D9" s="103">
        <v>0</v>
      </c>
      <c r="E9" s="103">
        <v>238105548.66</v>
      </c>
      <c r="F9" s="59">
        <v>497412022.86000001</v>
      </c>
      <c r="G9" s="103">
        <v>188753417.25</v>
      </c>
      <c r="H9" s="103">
        <v>0</v>
      </c>
      <c r="I9" s="103">
        <f>SUM(B9:H9)</f>
        <v>947270988.76999998</v>
      </c>
    </row>
    <row r="10" spans="1:10" x14ac:dyDescent="0.25">
      <c r="A10" s="105" t="s">
        <v>69</v>
      </c>
      <c r="B10" s="132">
        <v>0</v>
      </c>
      <c r="C10" s="103">
        <v>0</v>
      </c>
      <c r="D10" s="103">
        <v>0</v>
      </c>
      <c r="E10" s="104">
        <v>29312006.73</v>
      </c>
      <c r="F10" s="104">
        <v>37409781.100000001</v>
      </c>
      <c r="G10" s="134">
        <v>8758000</v>
      </c>
      <c r="H10" s="103">
        <v>0</v>
      </c>
      <c r="I10" s="103">
        <f>SUM(B10:H10)</f>
        <v>75479787.829999998</v>
      </c>
    </row>
    <row r="11" spans="1:10" x14ac:dyDescent="0.25">
      <c r="A11" s="105" t="s">
        <v>74</v>
      </c>
      <c r="B11" s="134">
        <v>0</v>
      </c>
      <c r="C11" s="104">
        <v>0</v>
      </c>
      <c r="D11" s="104">
        <v>0</v>
      </c>
      <c r="E11" s="104">
        <v>0</v>
      </c>
      <c r="F11" s="104">
        <v>0</v>
      </c>
      <c r="G11" s="104">
        <v>0</v>
      </c>
      <c r="H11" s="104">
        <v>0</v>
      </c>
      <c r="I11" s="104">
        <f t="shared" ref="I11:I14" si="0">SUM(B11:H11)</f>
        <v>0</v>
      </c>
    </row>
    <row r="12" spans="1:10" x14ac:dyDescent="0.25">
      <c r="A12" s="105" t="s">
        <v>70</v>
      </c>
      <c r="B12" s="134">
        <v>0</v>
      </c>
      <c r="C12" s="104">
        <v>0</v>
      </c>
      <c r="D12" s="104">
        <v>0</v>
      </c>
      <c r="E12" s="104">
        <v>0</v>
      </c>
      <c r="F12" s="104">
        <v>0</v>
      </c>
      <c r="G12" s="104">
        <v>0</v>
      </c>
      <c r="H12" s="104">
        <v>0</v>
      </c>
      <c r="I12" s="104">
        <f t="shared" si="0"/>
        <v>0</v>
      </c>
    </row>
    <row r="13" spans="1:10" x14ac:dyDescent="0.25">
      <c r="A13" s="105" t="s">
        <v>75</v>
      </c>
      <c r="B13" s="134">
        <v>0</v>
      </c>
      <c r="C13" s="104">
        <v>0</v>
      </c>
      <c r="D13" s="104">
        <v>0</v>
      </c>
      <c r="E13" s="104">
        <v>0</v>
      </c>
      <c r="F13" s="104">
        <v>0</v>
      </c>
      <c r="G13" s="104">
        <v>0</v>
      </c>
      <c r="H13" s="104">
        <v>0</v>
      </c>
      <c r="I13" s="103">
        <f t="shared" si="0"/>
        <v>0</v>
      </c>
    </row>
    <row r="14" spans="1:10" ht="15.75" thickBot="1" x14ac:dyDescent="0.3">
      <c r="A14" s="106" t="s">
        <v>58</v>
      </c>
      <c r="B14" s="172">
        <v>0</v>
      </c>
      <c r="C14" s="104">
        <v>0</v>
      </c>
      <c r="D14" s="104">
        <v>0</v>
      </c>
      <c r="E14" s="104">
        <v>0</v>
      </c>
      <c r="F14" s="104">
        <v>0</v>
      </c>
      <c r="G14" s="104">
        <v>0</v>
      </c>
      <c r="H14" s="104">
        <v>0</v>
      </c>
      <c r="I14" s="107">
        <f t="shared" si="0"/>
        <v>0</v>
      </c>
    </row>
    <row r="15" spans="1:10" ht="15.75" thickBot="1" x14ac:dyDescent="0.3">
      <c r="A15" s="108" t="s">
        <v>71</v>
      </c>
      <c r="B15" s="173">
        <f t="shared" ref="B15:I15" si="1">SUM(B9:B14)</f>
        <v>23000000</v>
      </c>
      <c r="C15" s="109">
        <f t="shared" si="1"/>
        <v>0</v>
      </c>
      <c r="D15" s="109">
        <f t="shared" si="1"/>
        <v>0</v>
      </c>
      <c r="E15" s="109">
        <f>SUM(E9:E14)</f>
        <v>267417555.38999999</v>
      </c>
      <c r="F15" s="109">
        <f>SUM(F9:F14)</f>
        <v>534821803.96000004</v>
      </c>
      <c r="G15" s="109">
        <f>SUM(G9:G14)</f>
        <v>197511417.25</v>
      </c>
      <c r="H15" s="109">
        <f t="shared" si="1"/>
        <v>0</v>
      </c>
      <c r="I15" s="109">
        <f t="shared" si="1"/>
        <v>1022750776.6</v>
      </c>
    </row>
    <row r="16" spans="1:10" ht="30.75" thickBot="1" x14ac:dyDescent="0.3">
      <c r="A16" s="110" t="s">
        <v>353</v>
      </c>
      <c r="B16" s="174">
        <v>-491156.95</v>
      </c>
      <c r="C16" s="174">
        <v>0</v>
      </c>
      <c r="D16" s="174">
        <v>0</v>
      </c>
      <c r="E16" s="174">
        <v>-98353175.37000002</v>
      </c>
      <c r="F16" s="255">
        <v>-245088735.92999998</v>
      </c>
      <c r="G16" s="256">
        <v>-91994821.920000002</v>
      </c>
      <c r="H16" s="257">
        <v>0</v>
      </c>
      <c r="I16" s="258">
        <f>SUM(B16:H16)</f>
        <v>-435927890.17000002</v>
      </c>
      <c r="J16" s="122"/>
    </row>
    <row r="17" spans="1:10" ht="15.75" thickBot="1" x14ac:dyDescent="0.3">
      <c r="A17" s="105" t="s">
        <v>72</v>
      </c>
      <c r="B17" s="174">
        <v>-226687.826</v>
      </c>
      <c r="C17" s="111">
        <v>0</v>
      </c>
      <c r="D17" s="111">
        <v>0</v>
      </c>
      <c r="E17" s="112">
        <v>-13371055.32</v>
      </c>
      <c r="F17" s="113">
        <v>-35320577.780000001</v>
      </c>
      <c r="G17" s="114">
        <v>-12035363.609999999</v>
      </c>
      <c r="H17" s="111">
        <v>0</v>
      </c>
      <c r="I17" s="115">
        <f>SUM(B17:H17)</f>
        <v>-60953684.535999998</v>
      </c>
      <c r="J17" s="122"/>
    </row>
    <row r="18" spans="1:10" ht="15.75" thickBot="1" x14ac:dyDescent="0.3">
      <c r="A18" s="105" t="s">
        <v>70</v>
      </c>
      <c r="B18" s="172">
        <v>0</v>
      </c>
      <c r="C18" s="115">
        <v>0</v>
      </c>
      <c r="D18" s="115">
        <v>0</v>
      </c>
      <c r="E18" s="116">
        <v>0</v>
      </c>
      <c r="F18" s="116">
        <v>0</v>
      </c>
      <c r="G18" s="116">
        <v>0</v>
      </c>
      <c r="H18" s="115">
        <v>0</v>
      </c>
      <c r="I18" s="115">
        <f t="shared" ref="I18" si="2">SUM(B18:H18)</f>
        <v>0</v>
      </c>
      <c r="J18" s="122"/>
    </row>
    <row r="19" spans="1:10" ht="30.75" thickBot="1" x14ac:dyDescent="0.3">
      <c r="A19" s="102" t="s">
        <v>230</v>
      </c>
      <c r="B19" s="175">
        <f>SUM(B16:B18)</f>
        <v>-717844.77600000007</v>
      </c>
      <c r="C19" s="117">
        <f t="shared" ref="C19:H19" si="3">SUM(C16:C18)</f>
        <v>0</v>
      </c>
      <c r="D19" s="117">
        <f t="shared" si="3"/>
        <v>0</v>
      </c>
      <c r="E19" s="117">
        <f>SUM(E16:E18)</f>
        <v>-111724230.69000003</v>
      </c>
      <c r="F19" s="117">
        <f>SUM(F16:F18)</f>
        <v>-280409313.70999998</v>
      </c>
      <c r="G19" s="117">
        <f>SUM(G16:G18)</f>
        <v>-104030185.53</v>
      </c>
      <c r="H19" s="117">
        <f t="shared" si="3"/>
        <v>0</v>
      </c>
      <c r="I19" s="117">
        <f>SUM(I16:I18)</f>
        <v>-496881574.70600003</v>
      </c>
    </row>
    <row r="20" spans="1:10" ht="36" customHeight="1" thickBot="1" x14ac:dyDescent="0.35">
      <c r="A20" s="34" t="s">
        <v>229</v>
      </c>
      <c r="B20" s="35">
        <f>+B15+B19</f>
        <v>22282155.223999999</v>
      </c>
      <c r="C20" s="35">
        <f t="shared" ref="C20:H20" si="4">SUM(C15:C19)</f>
        <v>0</v>
      </c>
      <c r="D20" s="35">
        <f t="shared" si="4"/>
        <v>0</v>
      </c>
      <c r="E20" s="254">
        <f>+E15+E19</f>
        <v>155693324.69999996</v>
      </c>
      <c r="F20" s="254">
        <f>+F15+F19</f>
        <v>254412490.25000006</v>
      </c>
      <c r="G20" s="254">
        <f>+G15+G19</f>
        <v>93481231.719999999</v>
      </c>
      <c r="H20" s="254">
        <f t="shared" si="4"/>
        <v>0</v>
      </c>
      <c r="I20" s="254">
        <f>+I15+I19</f>
        <v>525869201.89399999</v>
      </c>
    </row>
    <row r="21" spans="1:10" ht="15.75" thickTop="1" x14ac:dyDescent="0.25"/>
    <row r="22" spans="1:10" ht="18.75" x14ac:dyDescent="0.25">
      <c r="A22" s="318" t="s">
        <v>359</v>
      </c>
      <c r="B22" s="318"/>
      <c r="C22" s="318"/>
      <c r="D22" s="318"/>
      <c r="E22" s="318"/>
      <c r="F22" s="318"/>
      <c r="G22" s="318"/>
      <c r="H22" s="318"/>
      <c r="I22" s="318"/>
    </row>
    <row r="23" spans="1:10" ht="34.5" customHeight="1" x14ac:dyDescent="0.3">
      <c r="A23" s="319" t="s">
        <v>357</v>
      </c>
      <c r="B23" s="319"/>
      <c r="C23" s="319"/>
      <c r="D23" s="319"/>
      <c r="E23" s="319"/>
      <c r="F23" s="319"/>
      <c r="G23" s="319"/>
      <c r="H23" s="319"/>
      <c r="I23" s="319"/>
    </row>
    <row r="24" spans="1:10" ht="37.5" customHeight="1" x14ac:dyDescent="0.3">
      <c r="A24" s="319" t="s">
        <v>358</v>
      </c>
      <c r="B24" s="319"/>
      <c r="C24" s="319"/>
      <c r="D24" s="319"/>
      <c r="E24" s="319"/>
      <c r="F24" s="319"/>
      <c r="G24" s="319"/>
      <c r="H24" s="319"/>
      <c r="I24" s="319"/>
    </row>
    <row r="25" spans="1:10" ht="18.75" x14ac:dyDescent="0.3">
      <c r="A25" s="320" t="s">
        <v>360</v>
      </c>
      <c r="B25" s="320"/>
      <c r="C25" s="320"/>
      <c r="D25" s="320"/>
      <c r="E25" s="320"/>
      <c r="F25" s="320"/>
      <c r="G25" s="320"/>
      <c r="H25" s="320"/>
      <c r="I25" s="320"/>
    </row>
    <row r="26" spans="1:10" x14ac:dyDescent="0.25">
      <c r="A26" s="317"/>
      <c r="B26" s="317"/>
      <c r="C26" s="317"/>
      <c r="D26" s="317"/>
      <c r="E26" s="317"/>
      <c r="F26" s="317"/>
      <c r="G26" s="317"/>
      <c r="H26" s="317"/>
      <c r="I26" s="317"/>
    </row>
    <row r="27" spans="1:10" x14ac:dyDescent="0.25">
      <c r="A27" s="317"/>
      <c r="B27" s="317"/>
      <c r="C27" s="317"/>
      <c r="D27" s="317"/>
      <c r="E27" s="317"/>
      <c r="F27" s="317"/>
      <c r="G27" s="317"/>
      <c r="H27" s="317"/>
      <c r="I27" s="317"/>
    </row>
    <row r="28" spans="1:10" x14ac:dyDescent="0.25">
      <c r="A28" s="317"/>
      <c r="B28" s="317"/>
      <c r="C28" s="317"/>
      <c r="D28" s="317"/>
      <c r="E28" s="317"/>
      <c r="F28" s="317"/>
      <c r="G28" s="317"/>
      <c r="H28" s="317"/>
      <c r="I28" s="317"/>
    </row>
    <row r="29" spans="1:10" x14ac:dyDescent="0.25">
      <c r="A29" s="317"/>
      <c r="B29" s="317"/>
      <c r="C29" s="317"/>
      <c r="D29" s="317"/>
      <c r="E29" s="317"/>
      <c r="F29" s="317"/>
      <c r="G29" s="317"/>
      <c r="H29" s="317"/>
      <c r="I29" s="317"/>
    </row>
    <row r="30" spans="1:10" x14ac:dyDescent="0.25">
      <c r="A30" s="317"/>
      <c r="B30" s="317"/>
      <c r="C30" s="317"/>
      <c r="D30" s="317"/>
      <c r="E30" s="317"/>
      <c r="F30" s="317"/>
      <c r="G30" s="317"/>
      <c r="H30" s="317"/>
      <c r="I30" s="317"/>
    </row>
    <row r="31" spans="1:10" x14ac:dyDescent="0.25">
      <c r="A31" s="317"/>
      <c r="B31" s="317"/>
      <c r="C31" s="317"/>
      <c r="D31" s="317"/>
      <c r="E31" s="317"/>
      <c r="F31" s="317"/>
      <c r="G31" s="317"/>
      <c r="H31" s="317"/>
      <c r="I31" s="317"/>
    </row>
  </sheetData>
  <mergeCells count="10">
    <mergeCell ref="A28:I28"/>
    <mergeCell ref="A29:I29"/>
    <mergeCell ref="A30:I30"/>
    <mergeCell ref="A31:I31"/>
    <mergeCell ref="A22:I22"/>
    <mergeCell ref="A23:I23"/>
    <mergeCell ref="A24:I24"/>
    <mergeCell ref="A25:I25"/>
    <mergeCell ref="A26:I26"/>
    <mergeCell ref="A27:I27"/>
  </mergeCells>
  <pageMargins left="0.7" right="0.7" top="0.75" bottom="0.75" header="0.3" footer="0.3"/>
  <pageSetup scale="6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G45"/>
  <sheetViews>
    <sheetView topLeftCell="A7" zoomScale="130" zoomScaleNormal="130" workbookViewId="0">
      <selection activeCell="B19" sqref="B19"/>
    </sheetView>
  </sheetViews>
  <sheetFormatPr baseColWidth="10" defaultColWidth="11.42578125" defaultRowHeight="15.75" x14ac:dyDescent="0.25"/>
  <cols>
    <col min="1" max="1" width="54.140625" style="176" customWidth="1"/>
    <col min="2" max="2" width="29.85546875" style="177" customWidth="1"/>
    <col min="3" max="3" width="21.140625" style="176" bestFit="1" customWidth="1"/>
    <col min="4" max="4" width="11.42578125" style="176"/>
    <col min="5" max="6" width="14.5703125" style="176" bestFit="1" customWidth="1"/>
    <col min="7" max="16384" width="11.42578125" style="176"/>
  </cols>
  <sheetData>
    <row r="6" spans="1:7" x14ac:dyDescent="0.25">
      <c r="A6" s="322" t="s">
        <v>78</v>
      </c>
      <c r="B6" s="322"/>
      <c r="C6" s="322"/>
    </row>
    <row r="7" spans="1:7" x14ac:dyDescent="0.25">
      <c r="A7" s="323" t="s">
        <v>14</v>
      </c>
      <c r="B7" s="323"/>
      <c r="C7" s="323"/>
    </row>
    <row r="8" spans="1:7" x14ac:dyDescent="0.25">
      <c r="A8" s="322" t="s">
        <v>199</v>
      </c>
      <c r="B8" s="322"/>
      <c r="C8" s="322"/>
      <c r="D8" s="166"/>
      <c r="E8" s="166"/>
    </row>
    <row r="9" spans="1:7" x14ac:dyDescent="0.25">
      <c r="A9" s="323" t="s">
        <v>24</v>
      </c>
      <c r="B9" s="323"/>
      <c r="C9" s="323"/>
    </row>
    <row r="10" spans="1:7" x14ac:dyDescent="0.25">
      <c r="A10" s="10"/>
      <c r="B10" s="10"/>
      <c r="C10" s="10"/>
    </row>
    <row r="12" spans="1:7" x14ac:dyDescent="0.25">
      <c r="A12" s="10" t="s">
        <v>150</v>
      </c>
      <c r="B12" s="178">
        <v>2024</v>
      </c>
      <c r="C12" s="61">
        <v>2023</v>
      </c>
    </row>
    <row r="13" spans="1:7" x14ac:dyDescent="0.25">
      <c r="A13" s="8" t="s">
        <v>15</v>
      </c>
      <c r="B13" s="142">
        <f>+'NOTAS 7 AL 23 '!D158</f>
        <v>4145707168.7600002</v>
      </c>
      <c r="C13" s="182">
        <v>4632614865.3299999</v>
      </c>
      <c r="E13" s="177"/>
      <c r="F13" s="177"/>
      <c r="G13" s="177"/>
    </row>
    <row r="14" spans="1:7" x14ac:dyDescent="0.25">
      <c r="A14" s="7" t="s">
        <v>16</v>
      </c>
      <c r="B14" s="143">
        <f>SUM(B13:B13)</f>
        <v>4145707168.7600002</v>
      </c>
      <c r="C14" s="210">
        <f>+C13</f>
        <v>4632614865.3299999</v>
      </c>
      <c r="E14" s="177"/>
      <c r="F14" s="177"/>
      <c r="G14" s="177"/>
    </row>
    <row r="15" spans="1:7" x14ac:dyDescent="0.25">
      <c r="A15" s="179"/>
      <c r="B15" s="180"/>
      <c r="C15" s="177"/>
      <c r="E15" s="177"/>
      <c r="F15" s="177"/>
      <c r="G15" s="177"/>
    </row>
    <row r="16" spans="1:7" x14ac:dyDescent="0.25">
      <c r="A16" s="133" t="s">
        <v>160</v>
      </c>
      <c r="B16" s="181"/>
      <c r="C16" s="177"/>
    </row>
    <row r="17" spans="1:3" x14ac:dyDescent="0.25">
      <c r="A17" s="8" t="s">
        <v>17</v>
      </c>
      <c r="B17" s="144">
        <f>-'NOTAS 7 AL 23 '!D182</f>
        <v>-3079533663.5</v>
      </c>
      <c r="C17" s="211">
        <v>-3193442160</v>
      </c>
    </row>
    <row r="18" spans="1:3" x14ac:dyDescent="0.25">
      <c r="A18" s="8" t="s">
        <v>18</v>
      </c>
      <c r="B18" s="144">
        <f>-'NOTAS 7 AL 23 '!D199</f>
        <v>-327455356.05000007</v>
      </c>
      <c r="C18" s="211">
        <v>-270789569</v>
      </c>
    </row>
    <row r="19" spans="1:3" x14ac:dyDescent="0.25">
      <c r="A19" s="8" t="s">
        <v>19</v>
      </c>
      <c r="B19" s="144">
        <v>-497000946.19999999</v>
      </c>
      <c r="C19" s="211">
        <v>-1734716</v>
      </c>
    </row>
    <row r="20" spans="1:3" x14ac:dyDescent="0.25">
      <c r="A20" s="8" t="s">
        <v>361</v>
      </c>
      <c r="B20" s="144">
        <f>-'NOTAS 7 AL 23 '!D212</f>
        <v>-660559863.99000001</v>
      </c>
      <c r="C20" s="211">
        <v>0</v>
      </c>
    </row>
    <row r="21" spans="1:3" x14ac:dyDescent="0.25">
      <c r="A21" s="8" t="s">
        <v>20</v>
      </c>
      <c r="B21" s="144">
        <f>-'NOTAS 7 AL 23 '!D231</f>
        <v>-8736.51</v>
      </c>
      <c r="C21" s="212">
        <v>-22776</v>
      </c>
    </row>
    <row r="22" spans="1:3" x14ac:dyDescent="0.25">
      <c r="A22" s="7" t="s">
        <v>21</v>
      </c>
      <c r="B22" s="145">
        <f>SUM(B17:B21)</f>
        <v>-4564558566.25</v>
      </c>
      <c r="C22" s="145">
        <f>SUM(C17:C21)</f>
        <v>-3465989221</v>
      </c>
    </row>
    <row r="23" spans="1:3" x14ac:dyDescent="0.25">
      <c r="A23" s="179"/>
      <c r="B23" s="181"/>
      <c r="C23" s="177"/>
    </row>
    <row r="24" spans="1:3" x14ac:dyDescent="0.25">
      <c r="A24" s="7" t="s">
        <v>22</v>
      </c>
      <c r="B24" s="145">
        <f>+B14+B22</f>
        <v>-418851397.48999977</v>
      </c>
      <c r="C24" s="145">
        <f>+C14+C22</f>
        <v>1166625644.3299999</v>
      </c>
    </row>
    <row r="25" spans="1:3" x14ac:dyDescent="0.25">
      <c r="A25" s="179"/>
    </row>
    <row r="26" spans="1:3" x14ac:dyDescent="0.25">
      <c r="A26" s="179"/>
    </row>
    <row r="27" spans="1:3" x14ac:dyDescent="0.25">
      <c r="A27" s="262"/>
      <c r="B27" s="263"/>
    </row>
    <row r="28" spans="1:3" x14ac:dyDescent="0.25">
      <c r="A28" s="262"/>
      <c r="B28" s="263"/>
    </row>
    <row r="29" spans="1:3" x14ac:dyDescent="0.25">
      <c r="A29" s="262"/>
      <c r="B29" s="263"/>
    </row>
    <row r="30" spans="1:3" x14ac:dyDescent="0.25">
      <c r="A30" s="264"/>
      <c r="B30" s="263"/>
    </row>
    <row r="31" spans="1:3" ht="31.5" customHeight="1" x14ac:dyDescent="0.25">
      <c r="A31" s="265"/>
      <c r="B31" s="324"/>
      <c r="C31" s="324"/>
    </row>
    <row r="32" spans="1:3" x14ac:dyDescent="0.25">
      <c r="B32" s="263"/>
    </row>
    <row r="33" spans="1:3" x14ac:dyDescent="0.25">
      <c r="B33" s="263"/>
    </row>
    <row r="34" spans="1:3" x14ac:dyDescent="0.25">
      <c r="A34" s="266"/>
      <c r="B34" s="263"/>
    </row>
    <row r="35" spans="1:3" x14ac:dyDescent="0.25">
      <c r="A35" s="266"/>
      <c r="B35" s="321"/>
      <c r="C35" s="321"/>
    </row>
    <row r="36" spans="1:3" x14ac:dyDescent="0.25">
      <c r="B36" s="263"/>
    </row>
    <row r="37" spans="1:3" x14ac:dyDescent="0.25">
      <c r="B37" s="263"/>
    </row>
    <row r="38" spans="1:3" x14ac:dyDescent="0.25">
      <c r="B38" s="263"/>
    </row>
    <row r="39" spans="1:3" x14ac:dyDescent="0.25">
      <c r="B39" s="263"/>
    </row>
    <row r="40" spans="1:3" x14ac:dyDescent="0.25">
      <c r="B40" s="263"/>
    </row>
    <row r="41" spans="1:3" x14ac:dyDescent="0.25">
      <c r="B41" s="263"/>
    </row>
    <row r="42" spans="1:3" x14ac:dyDescent="0.25">
      <c r="B42" s="263"/>
    </row>
    <row r="43" spans="1:3" x14ac:dyDescent="0.25">
      <c r="B43" s="263"/>
    </row>
    <row r="44" spans="1:3" x14ac:dyDescent="0.25">
      <c r="B44" s="263"/>
    </row>
    <row r="45" spans="1:3" x14ac:dyDescent="0.25">
      <c r="B45" s="263"/>
    </row>
  </sheetData>
  <mergeCells count="6">
    <mergeCell ref="B35:C35"/>
    <mergeCell ref="A6:C6"/>
    <mergeCell ref="A7:C7"/>
    <mergeCell ref="A8:C8"/>
    <mergeCell ref="A9:C9"/>
    <mergeCell ref="B31:C3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G39"/>
  <sheetViews>
    <sheetView workbookViewId="0">
      <selection activeCell="H24" sqref="H24"/>
    </sheetView>
  </sheetViews>
  <sheetFormatPr baseColWidth="10" defaultColWidth="11.42578125" defaultRowHeight="15.75" x14ac:dyDescent="0.25"/>
  <cols>
    <col min="1" max="1" width="43.42578125" style="6" customWidth="1"/>
    <col min="2" max="2" width="22.85546875" style="6" customWidth="1"/>
    <col min="3" max="3" width="18.42578125" style="6" customWidth="1"/>
    <col min="4" max="4" width="16.42578125" style="6" customWidth="1"/>
    <col min="5" max="5" width="23.85546875" style="6" customWidth="1"/>
    <col min="6" max="6" width="20.42578125" style="6" customWidth="1"/>
    <col min="7" max="7" width="18.5703125" style="6" bestFit="1" customWidth="1"/>
    <col min="8" max="16384" width="11.42578125" style="6"/>
  </cols>
  <sheetData>
    <row r="6" spans="1:6" ht="20.25" x14ac:dyDescent="0.25">
      <c r="A6" s="325" t="s">
        <v>78</v>
      </c>
      <c r="B6" s="325"/>
      <c r="C6" s="325"/>
      <c r="D6" s="325"/>
      <c r="E6" s="325"/>
      <c r="F6" s="325"/>
    </row>
    <row r="7" spans="1:6" ht="20.25" x14ac:dyDescent="0.25">
      <c r="A7" s="326" t="s">
        <v>13</v>
      </c>
      <c r="B7" s="326"/>
      <c r="C7" s="326"/>
      <c r="D7" s="326"/>
      <c r="E7" s="326"/>
      <c r="F7" s="326"/>
    </row>
    <row r="8" spans="1:6" ht="20.25" x14ac:dyDescent="0.25">
      <c r="A8" s="326" t="s">
        <v>23</v>
      </c>
      <c r="B8" s="326"/>
      <c r="C8" s="326"/>
      <c r="D8" s="326"/>
      <c r="E8" s="326"/>
      <c r="F8" s="326"/>
    </row>
    <row r="9" spans="1:6" ht="20.25" x14ac:dyDescent="0.25">
      <c r="A9" s="325" t="s">
        <v>199</v>
      </c>
      <c r="B9" s="325"/>
      <c r="C9" s="325"/>
      <c r="D9" s="325"/>
      <c r="E9" s="325"/>
      <c r="F9" s="325"/>
    </row>
    <row r="10" spans="1:6" ht="20.25" x14ac:dyDescent="0.25">
      <c r="A10" s="326" t="s">
        <v>24</v>
      </c>
      <c r="B10" s="326"/>
      <c r="C10" s="326"/>
      <c r="D10" s="326"/>
      <c r="E10" s="326"/>
      <c r="F10" s="326"/>
    </row>
    <row r="11" spans="1:6" x14ac:dyDescent="0.25">
      <c r="A11" s="1"/>
      <c r="B11" s="1"/>
      <c r="C11" s="2"/>
      <c r="D11" s="1"/>
      <c r="E11" s="1"/>
    </row>
    <row r="12" spans="1:6" x14ac:dyDescent="0.25">
      <c r="A12" s="1"/>
      <c r="B12" s="1"/>
      <c r="C12" s="2"/>
      <c r="D12" s="1"/>
      <c r="E12" s="1"/>
      <c r="F12" s="3"/>
    </row>
    <row r="13" spans="1:6" ht="58.5" customHeight="1" x14ac:dyDescent="0.25">
      <c r="A13" s="15"/>
      <c r="B13" s="16" t="s">
        <v>25</v>
      </c>
      <c r="C13" s="16" t="s">
        <v>26</v>
      </c>
      <c r="D13" s="16" t="s">
        <v>27</v>
      </c>
      <c r="E13" s="16" t="s">
        <v>28</v>
      </c>
      <c r="F13" s="16" t="s">
        <v>30</v>
      </c>
    </row>
    <row r="14" spans="1:6" x14ac:dyDescent="0.25">
      <c r="A14" s="1"/>
      <c r="B14" s="12"/>
      <c r="C14" s="2"/>
      <c r="E14" s="12"/>
      <c r="F14" s="12"/>
    </row>
    <row r="15" spans="1:6" x14ac:dyDescent="0.25">
      <c r="A15" s="5" t="s">
        <v>383</v>
      </c>
      <c r="B15" s="277">
        <v>2332954547</v>
      </c>
      <c r="C15" s="277">
        <v>0</v>
      </c>
      <c r="D15" s="277">
        <v>0</v>
      </c>
      <c r="E15" s="263">
        <v>1166625645</v>
      </c>
      <c r="F15" s="277">
        <f>+B15</f>
        <v>2332954547</v>
      </c>
    </row>
    <row r="16" spans="1:6" x14ac:dyDescent="0.25">
      <c r="A16" s="4" t="s">
        <v>387</v>
      </c>
      <c r="B16" s="277"/>
      <c r="C16" s="277"/>
      <c r="D16" s="277"/>
      <c r="E16" s="263"/>
      <c r="F16" s="277"/>
    </row>
    <row r="17" spans="1:7" x14ac:dyDescent="0.25">
      <c r="A17" s="4" t="s">
        <v>388</v>
      </c>
      <c r="B17" s="277"/>
      <c r="C17" s="277"/>
      <c r="D17" s="277"/>
      <c r="E17" s="177"/>
      <c r="F17" s="277"/>
    </row>
    <row r="18" spans="1:7" x14ac:dyDescent="0.25">
      <c r="A18" s="4" t="s">
        <v>384</v>
      </c>
      <c r="B18" s="203">
        <v>0</v>
      </c>
      <c r="C18" s="203">
        <v>0</v>
      </c>
      <c r="D18" s="203">
        <v>0</v>
      </c>
      <c r="E18" s="263"/>
      <c r="F18" s="203"/>
    </row>
    <row r="19" spans="1:7" x14ac:dyDescent="0.25">
      <c r="A19" s="4" t="s">
        <v>29</v>
      </c>
      <c r="B19" s="278"/>
      <c r="C19" s="278">
        <f>+C15+C18</f>
        <v>0</v>
      </c>
      <c r="D19" s="278">
        <f>+D15+D18</f>
        <v>0</v>
      </c>
      <c r="E19" s="279">
        <f>+E15</f>
        <v>1166625645</v>
      </c>
      <c r="F19" s="278"/>
    </row>
    <row r="20" spans="1:7" ht="16.5" thickBot="1" x14ac:dyDescent="0.3">
      <c r="A20" s="5" t="s">
        <v>383</v>
      </c>
      <c r="B20" s="281">
        <f>+B15</f>
        <v>2332954547</v>
      </c>
      <c r="C20" s="207"/>
      <c r="D20" s="207"/>
      <c r="E20" s="282"/>
      <c r="F20" s="207"/>
    </row>
    <row r="21" spans="1:7" ht="16.5" thickTop="1" x14ac:dyDescent="0.25">
      <c r="A21" s="4" t="s">
        <v>385</v>
      </c>
      <c r="B21" s="177">
        <f>+B20</f>
        <v>2332954547</v>
      </c>
      <c r="C21" s="277"/>
      <c r="D21" s="277"/>
      <c r="E21" s="177">
        <v>1686649947</v>
      </c>
      <c r="F21" s="277">
        <f>+B21</f>
        <v>2332954547</v>
      </c>
    </row>
    <row r="22" spans="1:7" x14ac:dyDescent="0.25">
      <c r="A22" s="4" t="s">
        <v>387</v>
      </c>
      <c r="B22" s="277"/>
      <c r="C22" s="277"/>
      <c r="D22" s="277"/>
      <c r="E22" s="177"/>
      <c r="F22" s="277"/>
    </row>
    <row r="23" spans="1:7" x14ac:dyDescent="0.25">
      <c r="A23" s="4" t="s">
        <v>388</v>
      </c>
      <c r="B23" s="277"/>
      <c r="C23" s="277"/>
      <c r="D23" s="277"/>
      <c r="E23" s="177"/>
      <c r="F23" s="277"/>
    </row>
    <row r="24" spans="1:7" x14ac:dyDescent="0.25">
      <c r="A24" s="4" t="s">
        <v>384</v>
      </c>
      <c r="B24" s="277"/>
      <c r="C24" s="277"/>
      <c r="D24" s="277"/>
      <c r="E24" s="177"/>
      <c r="F24" s="278"/>
    </row>
    <row r="25" spans="1:7" x14ac:dyDescent="0.25">
      <c r="A25" s="4" t="s">
        <v>29</v>
      </c>
      <c r="B25" s="278"/>
      <c r="C25" s="278"/>
      <c r="D25" s="278"/>
      <c r="E25" s="279"/>
      <c r="F25" s="278"/>
    </row>
    <row r="26" spans="1:7" x14ac:dyDescent="0.25">
      <c r="A26" s="5" t="s">
        <v>386</v>
      </c>
      <c r="B26" s="278">
        <f>+B15</f>
        <v>2332954547</v>
      </c>
      <c r="C26" s="278"/>
      <c r="D26" s="278"/>
      <c r="E26" s="130">
        <f>+'Est. de Rendimiento Fin'!B24</f>
        <v>-418851397.48999977</v>
      </c>
      <c r="F26" s="280">
        <f>+B26</f>
        <v>2332954547</v>
      </c>
    </row>
    <row r="27" spans="1:7" s="13" customFormat="1" ht="16.5" thickBot="1" x14ac:dyDescent="0.3">
      <c r="A27" s="4" t="s">
        <v>29</v>
      </c>
      <c r="B27" s="156"/>
      <c r="C27" s="157"/>
      <c r="D27" s="157"/>
      <c r="E27" s="273">
        <f>SUM(E19+E25+E26)</f>
        <v>747774247.51000023</v>
      </c>
      <c r="F27" s="273">
        <f>+F26</f>
        <v>2332954547</v>
      </c>
      <c r="G27" s="101"/>
    </row>
    <row r="28" spans="1:7" ht="16.5" thickTop="1" x14ac:dyDescent="0.25">
      <c r="A28" s="5"/>
      <c r="B28" s="11"/>
      <c r="C28" s="11"/>
      <c r="D28" s="11"/>
      <c r="E28" s="11"/>
      <c r="F28" s="11"/>
    </row>
    <row r="29" spans="1:7" x14ac:dyDescent="0.25">
      <c r="A29" s="9"/>
    </row>
    <row r="30" spans="1:7" x14ac:dyDescent="0.25">
      <c r="A30" s="14"/>
    </row>
    <row r="33" spans="1:6" x14ac:dyDescent="0.25">
      <c r="A33" s="19"/>
      <c r="D33" s="311"/>
      <c r="E33" s="311"/>
      <c r="F33" s="311"/>
    </row>
    <row r="39" spans="1:6" x14ac:dyDescent="0.25">
      <c r="A39" s="19"/>
      <c r="D39" s="311"/>
      <c r="E39" s="311"/>
      <c r="F39" s="311"/>
    </row>
  </sheetData>
  <mergeCells count="7">
    <mergeCell ref="A6:F6"/>
    <mergeCell ref="D39:F39"/>
    <mergeCell ref="A7:F7"/>
    <mergeCell ref="A8:F8"/>
    <mergeCell ref="A9:F9"/>
    <mergeCell ref="A10:F10"/>
    <mergeCell ref="D33:F33"/>
  </mergeCells>
  <pageMargins left="0.70866141732283472" right="0.70866141732283472" top="0.74803149606299213" bottom="0.74803149606299213" header="0.31496062992125984" footer="0.31496062992125984"/>
  <pageSetup scale="84"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6:H39"/>
  <sheetViews>
    <sheetView topLeftCell="A7" zoomScale="130" zoomScaleNormal="130" workbookViewId="0">
      <selection activeCell="H18" sqref="H18"/>
    </sheetView>
  </sheetViews>
  <sheetFormatPr baseColWidth="10" defaultColWidth="11.42578125" defaultRowHeight="15.75" x14ac:dyDescent="0.25"/>
  <cols>
    <col min="1" max="1" width="55.140625" style="6" customWidth="1"/>
    <col min="2" max="2" width="32" style="158" customWidth="1"/>
    <col min="3" max="3" width="28.7109375" style="6" hidden="1" customWidth="1"/>
    <col min="4" max="4" width="23.42578125" style="6" customWidth="1"/>
    <col min="5" max="16384" width="11.42578125" style="6"/>
  </cols>
  <sheetData>
    <row r="6" spans="1:4" x14ac:dyDescent="0.25">
      <c r="A6" s="322" t="s">
        <v>91</v>
      </c>
      <c r="B6" s="322"/>
      <c r="C6" s="322"/>
      <c r="D6" s="322"/>
    </row>
    <row r="7" spans="1:4" x14ac:dyDescent="0.25">
      <c r="A7" s="322" t="s">
        <v>31</v>
      </c>
      <c r="B7" s="322"/>
      <c r="C7" s="322"/>
      <c r="D7" s="322"/>
    </row>
    <row r="8" spans="1:4" x14ac:dyDescent="0.25">
      <c r="A8" s="322" t="s">
        <v>199</v>
      </c>
      <c r="B8" s="322"/>
      <c r="C8" s="322"/>
      <c r="D8" s="322"/>
    </row>
    <row r="9" spans="1:4" x14ac:dyDescent="0.25">
      <c r="A9" s="323" t="s">
        <v>24</v>
      </c>
      <c r="B9" s="323"/>
      <c r="C9" s="323"/>
      <c r="D9" s="323"/>
    </row>
    <row r="10" spans="1:4" x14ac:dyDescent="0.25">
      <c r="A10" s="9"/>
    </row>
    <row r="11" spans="1:4" x14ac:dyDescent="0.25">
      <c r="A11" s="17" t="s">
        <v>32</v>
      </c>
    </row>
    <row r="12" spans="1:4" x14ac:dyDescent="0.25">
      <c r="B12" s="199">
        <v>2024</v>
      </c>
      <c r="D12" s="61">
        <v>2023</v>
      </c>
    </row>
    <row r="13" spans="1:4" ht="30" customHeight="1" x14ac:dyDescent="0.25">
      <c r="A13" s="4" t="s">
        <v>168</v>
      </c>
      <c r="B13" s="201">
        <f>+'NOTAS 7 AL 23 '!D158</f>
        <v>4145707168.7600002</v>
      </c>
      <c r="D13" s="203">
        <v>4632614865.3299999</v>
      </c>
    </row>
    <row r="14" spans="1:4" ht="15.75" customHeight="1" x14ac:dyDescent="0.25">
      <c r="A14" s="4" t="s">
        <v>40</v>
      </c>
      <c r="B14" s="208">
        <f>-'NOTAS 7 AL 23 '!D182</f>
        <v>-3079533663.5</v>
      </c>
      <c r="D14" s="62">
        <v>-2577703625.5100002</v>
      </c>
    </row>
    <row r="15" spans="1:4" x14ac:dyDescent="0.25">
      <c r="A15" s="4" t="s">
        <v>41</v>
      </c>
      <c r="B15" s="208">
        <f>-'NOTAS 7 AL 23 '!D179-'NOTAS 7 AL 23 '!D180-'NOTAS 7 AL 23 '!D181</f>
        <v>-357983343.09000003</v>
      </c>
      <c r="D15" s="62">
        <v>-348557186.43000001</v>
      </c>
    </row>
    <row r="16" spans="1:4" x14ac:dyDescent="0.25">
      <c r="A16" s="4" t="s">
        <v>33</v>
      </c>
      <c r="B16" s="208">
        <f>-'NOTAS 7 AL 23 '!D212</f>
        <v>-660559863.99000001</v>
      </c>
      <c r="D16" s="62">
        <v>-622518923</v>
      </c>
    </row>
    <row r="17" spans="1:8" x14ac:dyDescent="0.25">
      <c r="A17" s="5" t="s">
        <v>34</v>
      </c>
      <c r="B17" s="200">
        <f>SUM(B13:B16)</f>
        <v>47630298.180000186</v>
      </c>
      <c r="D17" s="200">
        <f>SUM(D12:D16)</f>
        <v>1083837153.3899996</v>
      </c>
    </row>
    <row r="18" spans="1:8" x14ac:dyDescent="0.25">
      <c r="A18" s="12"/>
      <c r="B18" s="159"/>
      <c r="H18" s="6" t="s">
        <v>389</v>
      </c>
    </row>
    <row r="19" spans="1:8" x14ac:dyDescent="0.25">
      <c r="A19" s="18" t="s">
        <v>35</v>
      </c>
      <c r="B19" s="160"/>
      <c r="D19" s="204"/>
    </row>
    <row r="20" spans="1:8" x14ac:dyDescent="0.25">
      <c r="A20" s="63" t="s">
        <v>36</v>
      </c>
      <c r="B20" s="125">
        <v>-79522763.950000003</v>
      </c>
      <c r="D20" s="125">
        <v>-52051283.380000003</v>
      </c>
    </row>
    <row r="21" spans="1:8" x14ac:dyDescent="0.25">
      <c r="A21" s="63" t="s">
        <v>64</v>
      </c>
      <c r="B21" s="125">
        <v>-49579468.420000002</v>
      </c>
      <c r="D21" s="209">
        <v>-44392824.5</v>
      </c>
    </row>
    <row r="22" spans="1:8" x14ac:dyDescent="0.25">
      <c r="A22" s="4" t="s">
        <v>310</v>
      </c>
      <c r="B22" s="129">
        <v>-5000000</v>
      </c>
      <c r="D22" s="60">
        <v>0</v>
      </c>
    </row>
    <row r="23" spans="1:8" x14ac:dyDescent="0.25">
      <c r="A23" s="18" t="s">
        <v>37</v>
      </c>
      <c r="B23" s="130">
        <f>SUM(B20:B22)</f>
        <v>-134102232.37</v>
      </c>
      <c r="D23" s="130">
        <f>SUM(D20:D21)</f>
        <v>-96444107.879999995</v>
      </c>
    </row>
    <row r="24" spans="1:8" x14ac:dyDescent="0.25">
      <c r="A24" s="12"/>
      <c r="B24" s="159"/>
      <c r="D24" s="204"/>
    </row>
    <row r="25" spans="1:8" ht="30" customHeight="1" x14ac:dyDescent="0.25">
      <c r="A25" s="4" t="s">
        <v>42</v>
      </c>
      <c r="B25" s="194">
        <f>+B17+B23</f>
        <v>-86471934.189999819</v>
      </c>
      <c r="D25" s="205">
        <f>+D17+D23</f>
        <v>987393045.50999963</v>
      </c>
    </row>
    <row r="26" spans="1:8" x14ac:dyDescent="0.25">
      <c r="A26" s="4" t="s">
        <v>43</v>
      </c>
      <c r="B26" s="274">
        <v>2098210032</v>
      </c>
      <c r="D26" s="206">
        <v>11790144.970000001</v>
      </c>
    </row>
    <row r="27" spans="1:8" ht="16.5" thickBot="1" x14ac:dyDescent="0.3">
      <c r="A27" s="5" t="s">
        <v>38</v>
      </c>
      <c r="B27" s="276">
        <f>+B25+B26</f>
        <v>2011738097.8100002</v>
      </c>
      <c r="C27" s="137">
        <f>+'NOTAS 7 AL 23 '!D63</f>
        <v>2011738097.8100002</v>
      </c>
      <c r="D27" s="207">
        <f>+D25+D26</f>
        <v>999183190.47999966</v>
      </c>
    </row>
    <row r="28" spans="1:8" ht="16.5" thickTop="1" x14ac:dyDescent="0.25">
      <c r="C28" s="62">
        <f>+C27-B27</f>
        <v>0</v>
      </c>
    </row>
    <row r="29" spans="1:8" x14ac:dyDescent="0.25">
      <c r="C29" s="62"/>
    </row>
    <row r="30" spans="1:8" x14ac:dyDescent="0.25">
      <c r="A30" s="14"/>
    </row>
    <row r="31" spans="1:8" x14ac:dyDescent="0.25">
      <c r="A31" s="14"/>
    </row>
    <row r="33" spans="1:2" x14ac:dyDescent="0.25">
      <c r="A33" s="19" t="s">
        <v>51</v>
      </c>
      <c r="B33" s="161"/>
    </row>
    <row r="34" spans="1:2" ht="31.5" x14ac:dyDescent="0.25">
      <c r="A34" s="19" t="s">
        <v>161</v>
      </c>
      <c r="B34" s="162" t="s">
        <v>169</v>
      </c>
    </row>
    <row r="38" spans="1:2" x14ac:dyDescent="0.25">
      <c r="A38" s="19" t="s">
        <v>52</v>
      </c>
      <c r="B38" s="161"/>
    </row>
    <row r="39" spans="1:2" x14ac:dyDescent="0.25">
      <c r="A39" s="19" t="s">
        <v>162</v>
      </c>
      <c r="B39" s="163" t="s">
        <v>163</v>
      </c>
    </row>
  </sheetData>
  <mergeCells count="4">
    <mergeCell ref="A8:D8"/>
    <mergeCell ref="A7:D7"/>
    <mergeCell ref="A6:D6"/>
    <mergeCell ref="A9:D9"/>
  </mergeCells>
  <pageMargins left="0.70866141732283472" right="0.70866141732283472" top="0.74803149606299213" bottom="0.74803149606299213" header="0.31496062992125984" footer="0.31496062992125984"/>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34"/>
  <sheetViews>
    <sheetView topLeftCell="A7" zoomScale="120" zoomScaleNormal="120" workbookViewId="0">
      <selection activeCell="H14" sqref="H14"/>
    </sheetView>
  </sheetViews>
  <sheetFormatPr baseColWidth="10" defaultColWidth="11.42578125" defaultRowHeight="18.75" x14ac:dyDescent="0.3"/>
  <cols>
    <col min="1" max="1" width="4.5703125" style="21" bestFit="1" customWidth="1"/>
    <col min="2" max="2" width="44.42578125" style="21" customWidth="1"/>
    <col min="3" max="3" width="24.42578125" style="45" customWidth="1"/>
    <col min="4" max="4" width="25.85546875" style="45" customWidth="1"/>
    <col min="5" max="5" width="20.7109375" style="49" customWidth="1"/>
    <col min="6" max="6" width="25.42578125" style="45" bestFit="1" customWidth="1"/>
    <col min="7" max="7" width="20.7109375" style="21" bestFit="1" customWidth="1"/>
    <col min="8" max="16384" width="11.42578125" style="21"/>
  </cols>
  <sheetData>
    <row r="6" spans="1:8" x14ac:dyDescent="0.3">
      <c r="A6" s="327" t="s">
        <v>92</v>
      </c>
      <c r="B6" s="327"/>
      <c r="C6" s="327"/>
      <c r="D6" s="327"/>
      <c r="E6" s="327"/>
      <c r="F6" s="327"/>
    </row>
    <row r="7" spans="1:8" x14ac:dyDescent="0.3">
      <c r="A7" s="328" t="s">
        <v>45</v>
      </c>
      <c r="B7" s="328"/>
      <c r="C7" s="328"/>
      <c r="D7" s="328"/>
      <c r="E7" s="328"/>
      <c r="F7" s="328"/>
      <c r="G7" s="20"/>
      <c r="H7" s="20"/>
    </row>
    <row r="8" spans="1:8" x14ac:dyDescent="0.3">
      <c r="A8" s="329" t="s">
        <v>350</v>
      </c>
      <c r="B8" s="329"/>
      <c r="C8" s="329"/>
      <c r="D8" s="329"/>
      <c r="E8" s="329"/>
      <c r="F8" s="329"/>
      <c r="G8" s="20"/>
      <c r="H8" s="20"/>
    </row>
    <row r="9" spans="1:8" x14ac:dyDescent="0.3">
      <c r="A9" s="328" t="s">
        <v>39</v>
      </c>
      <c r="B9" s="328"/>
      <c r="C9" s="328"/>
      <c r="D9" s="328"/>
      <c r="E9" s="328"/>
      <c r="F9" s="328"/>
      <c r="G9" s="20"/>
      <c r="H9" s="20"/>
    </row>
    <row r="10" spans="1:8" x14ac:dyDescent="0.3">
      <c r="A10" s="330" t="s">
        <v>90</v>
      </c>
      <c r="B10" s="330"/>
      <c r="C10" s="330"/>
      <c r="D10" s="330"/>
      <c r="E10" s="330"/>
      <c r="F10" s="330"/>
      <c r="G10" s="22"/>
      <c r="H10" s="22"/>
    </row>
    <row r="11" spans="1:8" x14ac:dyDescent="0.3">
      <c r="A11" s="40"/>
      <c r="B11" s="40"/>
      <c r="C11" s="41"/>
      <c r="D11" s="41"/>
      <c r="E11" s="46"/>
      <c r="F11" s="41"/>
      <c r="G11" s="40"/>
      <c r="H11" s="40"/>
    </row>
    <row r="12" spans="1:8" ht="56.25" x14ac:dyDescent="0.3">
      <c r="A12" s="331" t="s">
        <v>54</v>
      </c>
      <c r="B12" s="331"/>
      <c r="C12" s="44" t="s">
        <v>55</v>
      </c>
      <c r="D12" s="44" t="s">
        <v>56</v>
      </c>
      <c r="E12" s="47" t="s">
        <v>46</v>
      </c>
      <c r="F12" s="44" t="s">
        <v>44</v>
      </c>
    </row>
    <row r="13" spans="1:8" x14ac:dyDescent="0.3">
      <c r="A13" s="23">
        <v>1</v>
      </c>
      <c r="B13" s="24" t="s">
        <v>57</v>
      </c>
      <c r="C13" s="42">
        <v>11182324484</v>
      </c>
      <c r="D13" s="42">
        <f>+'NOTAS 7 AL 23 '!D158</f>
        <v>4145707168.7600002</v>
      </c>
      <c r="E13" s="47">
        <f>D13/C13</f>
        <v>0.37073751300025326</v>
      </c>
      <c r="F13" s="42">
        <f>C13-D13</f>
        <v>7036617315.2399998</v>
      </c>
    </row>
    <row r="14" spans="1:8" x14ac:dyDescent="0.3">
      <c r="A14" s="25">
        <v>1.4</v>
      </c>
      <c r="B14" s="26" t="s">
        <v>58</v>
      </c>
      <c r="C14" s="43">
        <v>4145707168.7600002</v>
      </c>
      <c r="D14" s="43">
        <f>+'NOTAS 7 AL 23 '!D158</f>
        <v>4145707168.7600002</v>
      </c>
      <c r="E14" s="47">
        <f t="shared" ref="E14:E22" si="0">D14/C14</f>
        <v>1</v>
      </c>
      <c r="F14" s="42">
        <f t="shared" ref="F14:F22" si="1">C14-D14</f>
        <v>0</v>
      </c>
    </row>
    <row r="15" spans="1:8" x14ac:dyDescent="0.3">
      <c r="A15" s="23">
        <v>2</v>
      </c>
      <c r="B15" s="24" t="s">
        <v>59</v>
      </c>
      <c r="C15" s="42">
        <f>+C16+C17+C18+C20+C21+C19</f>
        <v>12682324484.000002</v>
      </c>
      <c r="D15" s="42">
        <f>SUM(D16:D21)</f>
        <v>4202107692.4099998</v>
      </c>
      <c r="E15" s="47">
        <f t="shared" si="0"/>
        <v>0.33133576559339506</v>
      </c>
      <c r="F15" s="42">
        <f t="shared" si="1"/>
        <v>8480216791.5900021</v>
      </c>
    </row>
    <row r="16" spans="1:8" x14ac:dyDescent="0.3">
      <c r="A16" s="25">
        <v>2.1</v>
      </c>
      <c r="B16" s="26" t="s">
        <v>60</v>
      </c>
      <c r="C16" s="43">
        <v>8340235687</v>
      </c>
      <c r="D16" s="43">
        <v>3079990240</v>
      </c>
      <c r="E16" s="47">
        <f t="shared" si="0"/>
        <v>0.36929294993435358</v>
      </c>
      <c r="F16" s="42">
        <f t="shared" si="1"/>
        <v>5260245447</v>
      </c>
    </row>
    <row r="17" spans="1:7" x14ac:dyDescent="0.3">
      <c r="A17" s="25">
        <v>2.2000000000000002</v>
      </c>
      <c r="B17" s="26" t="s">
        <v>61</v>
      </c>
      <c r="C17" s="43">
        <v>2103504655.6700001</v>
      </c>
      <c r="D17" s="43">
        <v>660559863.99000001</v>
      </c>
      <c r="E17" s="47">
        <f t="shared" si="0"/>
        <v>0.31402823959027609</v>
      </c>
      <c r="F17" s="42">
        <f t="shared" si="1"/>
        <v>1442944791.6800001</v>
      </c>
      <c r="G17" s="45"/>
    </row>
    <row r="18" spans="1:7" x14ac:dyDescent="0.3">
      <c r="A18" s="25">
        <v>2.2999999999999998</v>
      </c>
      <c r="B18" s="26" t="s">
        <v>62</v>
      </c>
      <c r="C18" s="43">
        <v>1298677231.71</v>
      </c>
      <c r="D18" s="43">
        <v>327455356.05000001</v>
      </c>
      <c r="E18" s="47">
        <f t="shared" si="0"/>
        <v>0.25214529681007153</v>
      </c>
      <c r="F18" s="42">
        <f t="shared" si="1"/>
        <v>971221875.66000009</v>
      </c>
    </row>
    <row r="19" spans="1:7" x14ac:dyDescent="0.3">
      <c r="A19" s="25">
        <v>2.5</v>
      </c>
      <c r="B19" s="26" t="s">
        <v>311</v>
      </c>
      <c r="C19" s="43">
        <f>+'NOTAS 7 AL 23 '!C164</f>
        <v>0</v>
      </c>
      <c r="D19" s="43">
        <v>5000000</v>
      </c>
      <c r="E19" s="47">
        <v>0</v>
      </c>
      <c r="F19" s="42">
        <v>0</v>
      </c>
    </row>
    <row r="20" spans="1:7" x14ac:dyDescent="0.3">
      <c r="A20" s="25">
        <v>2.6</v>
      </c>
      <c r="B20" s="26" t="s">
        <v>63</v>
      </c>
      <c r="C20" s="43">
        <v>519428834.25999999</v>
      </c>
      <c r="D20" s="43">
        <v>79522763.950000003</v>
      </c>
      <c r="E20" s="47">
        <f t="shared" si="0"/>
        <v>0.15309655279975254</v>
      </c>
      <c r="F20" s="42">
        <f t="shared" si="1"/>
        <v>439906070.31</v>
      </c>
    </row>
    <row r="21" spans="1:7" x14ac:dyDescent="0.3">
      <c r="A21" s="25">
        <v>2.7</v>
      </c>
      <c r="B21" s="26" t="s">
        <v>64</v>
      </c>
      <c r="C21" s="43">
        <v>420478075.36000001</v>
      </c>
      <c r="D21" s="43">
        <v>49579468.420000002</v>
      </c>
      <c r="E21" s="47">
        <f t="shared" si="0"/>
        <v>0.11791213698253264</v>
      </c>
      <c r="F21" s="42">
        <f t="shared" si="1"/>
        <v>370898606.94</v>
      </c>
    </row>
    <row r="22" spans="1:7" x14ac:dyDescent="0.3">
      <c r="A22" s="27"/>
      <c r="B22" s="28" t="s">
        <v>65</v>
      </c>
      <c r="C22" s="195">
        <f>SUM(C13-C15)</f>
        <v>-1500000000.0000019</v>
      </c>
      <c r="D22" s="195">
        <f>SUM(D13-D15)</f>
        <v>-56400523.649999619</v>
      </c>
      <c r="E22" s="47">
        <f t="shared" si="0"/>
        <v>3.7600349099999701E-2</v>
      </c>
      <c r="F22" s="196">
        <f t="shared" si="1"/>
        <v>-1443599476.3500023</v>
      </c>
    </row>
    <row r="23" spans="1:7" x14ac:dyDescent="0.3">
      <c r="A23" s="27"/>
      <c r="B23" s="28"/>
      <c r="C23" s="44"/>
      <c r="D23" s="44"/>
      <c r="E23" s="48"/>
      <c r="F23" s="44"/>
    </row>
    <row r="24" spans="1:7" x14ac:dyDescent="0.3">
      <c r="A24" s="27"/>
      <c r="B24" s="28"/>
      <c r="C24" s="44"/>
      <c r="D24" s="44"/>
      <c r="E24" s="48"/>
      <c r="F24" s="44"/>
    </row>
    <row r="25" spans="1:7" x14ac:dyDescent="0.3">
      <c r="A25" s="27"/>
      <c r="B25" s="28"/>
      <c r="C25" s="44"/>
      <c r="D25" s="44"/>
      <c r="E25" s="48"/>
      <c r="F25" s="44"/>
    </row>
    <row r="28" spans="1:7" x14ac:dyDescent="0.3">
      <c r="B28" s="19"/>
      <c r="D28" s="259"/>
      <c r="E28" s="260"/>
      <c r="F28" s="259"/>
    </row>
    <row r="29" spans="1:7" x14ac:dyDescent="0.3">
      <c r="B29" s="19"/>
      <c r="D29" s="311"/>
      <c r="E29" s="311"/>
      <c r="F29" s="311"/>
    </row>
    <row r="30" spans="1:7" x14ac:dyDescent="0.3">
      <c r="B30" s="6"/>
      <c r="D30" s="259"/>
      <c r="E30" s="260"/>
      <c r="F30" s="259"/>
    </row>
    <row r="31" spans="1:7" x14ac:dyDescent="0.3">
      <c r="B31" s="6"/>
      <c r="D31" s="259"/>
      <c r="E31" s="260"/>
      <c r="F31" s="259"/>
    </row>
    <row r="32" spans="1:7" x14ac:dyDescent="0.3">
      <c r="B32" s="6"/>
      <c r="D32" s="259"/>
      <c r="E32" s="260"/>
      <c r="F32" s="259"/>
    </row>
    <row r="33" spans="2:6" x14ac:dyDescent="0.3">
      <c r="B33" s="19"/>
      <c r="E33" s="261"/>
    </row>
    <row r="34" spans="2:6" x14ac:dyDescent="0.3">
      <c r="B34" s="19"/>
      <c r="D34" s="311"/>
      <c r="E34" s="311"/>
      <c r="F34" s="311"/>
    </row>
  </sheetData>
  <mergeCells count="8">
    <mergeCell ref="A6:F6"/>
    <mergeCell ref="D29:F29"/>
    <mergeCell ref="D34:F34"/>
    <mergeCell ref="A7:F7"/>
    <mergeCell ref="A8:F8"/>
    <mergeCell ref="A9:F9"/>
    <mergeCell ref="A10:F10"/>
    <mergeCell ref="A12:B12"/>
  </mergeCells>
  <pageMargins left="0.70866141732283472" right="0.70866141732283472" top="0.74803149606299213" bottom="0.74803149606299213"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Estado de Situación</vt:lpstr>
      <vt:lpstr>NOTAS 7 AL 23 </vt:lpstr>
      <vt:lpstr>Detalle Nota No.10</vt:lpstr>
      <vt:lpstr>Detalle Nota 11 Prop. Plan y Eq</vt:lpstr>
      <vt:lpstr>Est. de Rendimiento Fin</vt:lpstr>
      <vt:lpstr>Cambio del Patrimonio</vt:lpstr>
      <vt:lpstr>Flujo de Efectivo</vt:lpstr>
      <vt:lpstr>Estado Comparativo</vt:lpstr>
      <vt:lpstr>'Estado de Situación'!Área_de_impresión</vt:lpstr>
      <vt:lpstr>'NOTAS 7 AL 23 '!OLE_LINK1</vt:lpstr>
      <vt:lpstr>'NOTAS 7 AL 23 '!OLE_LINK4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Maira Lara De Jesus</cp:lastModifiedBy>
  <cp:lastPrinted>2024-07-16T03:17:10Z</cp:lastPrinted>
  <dcterms:created xsi:type="dcterms:W3CDTF">2018-07-13T15:52:30Z</dcterms:created>
  <dcterms:modified xsi:type="dcterms:W3CDTF">2024-07-19T18:14:12Z</dcterms:modified>
</cp:coreProperties>
</file>